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Appropriation &amp; Finance 2022-23_Manipur (14-12-2023)\FINANCE ACCOUNTS 2022-23\APPENDIX (I - XII)  (Corrected)\"/>
    </mc:Choice>
  </mc:AlternateContent>
  <bookViews>
    <workbookView xWindow="0" yWindow="0" windowWidth="28800" windowHeight="11835"/>
  </bookViews>
  <sheets>
    <sheet name="CPSMS_Sanction_Report_SPV_Route" sheetId="1" r:id="rId1"/>
    <sheet name="Sheet1" sheetId="2" r:id="rId2"/>
  </sheets>
  <definedNames>
    <definedName name="_xlnm._FilterDatabase" localSheetId="0" hidden="1">CPSMS_Sanction_Report_SPV_Route!$D$9:$D$170</definedName>
    <definedName name="_xlnm.Print_Area" localSheetId="0">CPSMS_Sanction_Report_SPV_Route!$A$1:$G$924</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923" i="1" l="1"/>
  <c r="H291" i="1"/>
  <c r="H268" i="1"/>
  <c r="H248" i="1"/>
  <c r="H224" i="1"/>
  <c r="E174" i="1"/>
  <c r="H770" i="1"/>
  <c r="H375" i="1"/>
  <c r="H799" i="1"/>
  <c r="H777" i="1"/>
  <c r="H674" i="1"/>
  <c r="H622" i="1"/>
  <c r="H595" i="1"/>
  <c r="H568" i="1"/>
  <c r="H541" i="1"/>
  <c r="H515" i="1"/>
  <c r="H488" i="1"/>
  <c r="H464" i="1"/>
  <c r="H439" i="1"/>
  <c r="H415" i="1"/>
  <c r="H389" i="1"/>
  <c r="I233" i="1"/>
  <c r="I483" i="1"/>
  <c r="H927" i="1"/>
  <c r="H701" i="1"/>
  <c r="J701" i="1"/>
  <c r="J923" i="1"/>
  <c r="I923" i="1"/>
  <c r="J903" i="1"/>
  <c r="I903" i="1"/>
  <c r="J877" i="1"/>
  <c r="H877" i="1"/>
  <c r="J860" i="1"/>
  <c r="H860" i="1"/>
  <c r="J839" i="1"/>
  <c r="H839" i="1"/>
  <c r="J818" i="1"/>
  <c r="H818" i="1"/>
  <c r="J799" i="1"/>
  <c r="J777" i="1"/>
  <c r="J755" i="1"/>
  <c r="H755" i="1"/>
  <c r="J728" i="1"/>
  <c r="H728" i="1"/>
  <c r="J674" i="1"/>
  <c r="J649" i="1"/>
  <c r="H649" i="1"/>
  <c r="J622" i="1"/>
  <c r="J595" i="1"/>
  <c r="J568" i="1"/>
  <c r="J541" i="1"/>
  <c r="J515" i="1"/>
  <c r="J488" i="1"/>
  <c r="J464" i="1"/>
  <c r="J439" i="1"/>
  <c r="J415" i="1"/>
  <c r="J389" i="1"/>
  <c r="J363" i="1"/>
  <c r="H363" i="1"/>
  <c r="J338" i="1"/>
  <c r="H338" i="1"/>
  <c r="J314" i="1"/>
  <c r="J291" i="1"/>
  <c r="J267" i="1"/>
  <c r="J245" i="1"/>
  <c r="J223" i="1"/>
  <c r="J201" i="1"/>
  <c r="H201" i="1"/>
  <c r="E924" i="1" l="1"/>
  <c r="G923" i="1"/>
  <c r="H769" i="1"/>
  <c r="H378" i="1"/>
  <c r="I927" i="1" l="1"/>
  <c r="J172" i="1"/>
  <c r="J165" i="1"/>
  <c r="J120" i="1"/>
  <c r="H120" i="1"/>
  <c r="J127" i="1"/>
  <c r="H127" i="1"/>
  <c r="J76" i="1"/>
  <c r="H76" i="1"/>
  <c r="J49" i="1"/>
  <c r="H49" i="1"/>
  <c r="J23" i="1"/>
  <c r="H23" i="1"/>
  <c r="F529" i="1" l="1"/>
  <c r="I234" i="1"/>
  <c r="F207" i="2"/>
  <c r="E207" i="2"/>
  <c r="C202" i="2"/>
  <c r="B202" i="2"/>
  <c r="I193" i="2"/>
  <c r="H193" i="2"/>
  <c r="C182" i="2"/>
  <c r="B182" i="2"/>
  <c r="R181" i="2"/>
  <c r="Q181" i="2"/>
  <c r="O181" i="2"/>
  <c r="N181" i="2"/>
  <c r="L181" i="2"/>
  <c r="K181" i="2"/>
  <c r="I181" i="2"/>
  <c r="H181" i="2"/>
  <c r="F181" i="2"/>
  <c r="E181" i="2"/>
  <c r="R158" i="2"/>
  <c r="Q158" i="2"/>
  <c r="C156" i="2"/>
  <c r="B156" i="2"/>
  <c r="L153" i="2"/>
  <c r="K153" i="2"/>
  <c r="I153" i="2"/>
  <c r="H153" i="2"/>
  <c r="F153" i="2"/>
  <c r="E153" i="2"/>
  <c r="O149" i="2"/>
  <c r="N149" i="2"/>
  <c r="L137" i="2"/>
  <c r="K137" i="2"/>
  <c r="O136" i="2"/>
  <c r="N136" i="2"/>
  <c r="C136" i="2"/>
  <c r="B136" i="2"/>
  <c r="R135" i="2"/>
  <c r="Q135" i="2"/>
  <c r="F135" i="2"/>
  <c r="E135" i="2"/>
  <c r="I134" i="2"/>
  <c r="H134" i="2"/>
  <c r="L113" i="2"/>
  <c r="K113" i="2"/>
  <c r="R112" i="2"/>
  <c r="Q112" i="2"/>
  <c r="O112" i="2"/>
  <c r="N112" i="2"/>
  <c r="I111" i="2"/>
  <c r="H111" i="2"/>
  <c r="F110" i="2"/>
  <c r="E110" i="2"/>
  <c r="C110" i="2"/>
  <c r="B110" i="2"/>
  <c r="L90" i="2"/>
  <c r="K90" i="2"/>
  <c r="R88" i="2"/>
  <c r="Q88" i="2"/>
  <c r="O88" i="2"/>
  <c r="N88" i="2"/>
  <c r="I88" i="2"/>
  <c r="H88" i="2"/>
  <c r="F85" i="2"/>
  <c r="E85" i="2"/>
  <c r="C84" i="2"/>
  <c r="B84" i="2"/>
  <c r="C67" i="2"/>
  <c r="B67" i="2"/>
  <c r="F65" i="2"/>
  <c r="E65" i="2"/>
  <c r="L63" i="2"/>
  <c r="K63" i="2"/>
  <c r="R62" i="2"/>
  <c r="Q62" i="2"/>
  <c r="I61" i="2"/>
  <c r="H61" i="2"/>
  <c r="O59" i="2"/>
  <c r="N59" i="2"/>
  <c r="F42" i="2"/>
  <c r="E42" i="2"/>
  <c r="C41" i="2"/>
  <c r="B41" i="2"/>
  <c r="I39" i="2"/>
  <c r="H39" i="2"/>
  <c r="O23" i="2"/>
  <c r="N23" i="2"/>
  <c r="L23" i="2"/>
  <c r="K23" i="2"/>
  <c r="I23" i="2"/>
  <c r="H23" i="2"/>
  <c r="F23" i="2"/>
  <c r="E23" i="2"/>
  <c r="R20" i="2"/>
  <c r="Q20" i="2"/>
  <c r="C20" i="2"/>
  <c r="B20" i="2"/>
  <c r="I41" i="2" l="1"/>
  <c r="I42" i="2" s="1"/>
  <c r="J41" i="2"/>
  <c r="J42" i="2" s="1"/>
  <c r="J198" i="2"/>
  <c r="I198" i="2"/>
  <c r="K200" i="2" l="1"/>
  <c r="J200" i="2"/>
  <c r="J201" i="2" s="1"/>
  <c r="K203" i="2" s="1"/>
  <c r="F876" i="1" l="1"/>
  <c r="F875" i="1"/>
  <c r="F790" i="1"/>
  <c r="F874" i="1"/>
  <c r="F873" i="1"/>
  <c r="F872" i="1"/>
  <c r="F871" i="1"/>
  <c r="F870" i="1"/>
  <c r="F789" i="1"/>
  <c r="F788" i="1"/>
  <c r="F787" i="1"/>
  <c r="F869" i="1"/>
  <c r="F868" i="1"/>
  <c r="F776" i="1"/>
  <c r="F860" i="1"/>
  <c r="F859" i="1"/>
  <c r="F774" i="1"/>
  <c r="F857" i="1"/>
  <c r="F770" i="1"/>
  <c r="F769" i="1"/>
  <c r="F854" i="1"/>
  <c r="F853" i="1"/>
  <c r="F852" i="1"/>
  <c r="F851" i="1"/>
  <c r="F850" i="1"/>
  <c r="F849" i="1"/>
  <c r="F848" i="1"/>
  <c r="F847" i="1"/>
  <c r="F839" i="1"/>
  <c r="F838" i="1"/>
  <c r="F837" i="1"/>
  <c r="F836" i="1"/>
  <c r="F835" i="1"/>
  <c r="F834" i="1"/>
  <c r="F833" i="1"/>
  <c r="F832" i="1"/>
  <c r="F827" i="1"/>
  <c r="F817" i="1"/>
  <c r="F816" i="1"/>
  <c r="F815" i="1"/>
  <c r="F814" i="1"/>
  <c r="F767" i="1"/>
  <c r="F765" i="1"/>
  <c r="F764" i="1"/>
  <c r="F812" i="1"/>
  <c r="F811" i="1"/>
  <c r="F808" i="1"/>
  <c r="F807" i="1"/>
  <c r="F763" i="1"/>
  <c r="F796" i="1"/>
  <c r="F793" i="1"/>
  <c r="F791" i="1"/>
  <c r="F755" i="1"/>
  <c r="F754" i="1"/>
  <c r="F753" i="1"/>
  <c r="F752" i="1"/>
  <c r="F751" i="1"/>
  <c r="F750" i="1"/>
  <c r="F749" i="1"/>
  <c r="F748" i="1"/>
  <c r="F747" i="1"/>
  <c r="F746" i="1"/>
  <c r="F745" i="1"/>
  <c r="F744" i="1"/>
  <c r="F743" i="1"/>
  <c r="F742" i="1"/>
  <c r="F741" i="1"/>
  <c r="F740" i="1"/>
  <c r="F739" i="1"/>
  <c r="F738" i="1"/>
  <c r="F737" i="1"/>
  <c r="F736" i="1"/>
  <c r="F728" i="1"/>
  <c r="F727" i="1"/>
  <c r="F726" i="1"/>
  <c r="F725" i="1"/>
  <c r="F724" i="1"/>
  <c r="F723" i="1"/>
  <c r="F722" i="1"/>
  <c r="F671" i="1"/>
  <c r="F721" i="1"/>
  <c r="F720" i="1"/>
  <c r="F719" i="1"/>
  <c r="F718" i="1"/>
  <c r="F717" i="1"/>
  <c r="F716" i="1"/>
  <c r="F715" i="1"/>
  <c r="F714" i="1"/>
  <c r="F713" i="1"/>
  <c r="F670" i="1"/>
  <c r="F712" i="1"/>
  <c r="F711" i="1"/>
  <c r="F710" i="1"/>
  <c r="F709" i="1"/>
  <c r="F701" i="1"/>
  <c r="F700" i="1"/>
  <c r="F699" i="1"/>
  <c r="F698" i="1"/>
  <c r="F697" i="1"/>
  <c r="F696" i="1"/>
  <c r="F665" i="1"/>
  <c r="F612" i="1"/>
  <c r="F664" i="1"/>
  <c r="F611" i="1"/>
  <c r="F610" i="1"/>
  <c r="F609" i="1"/>
  <c r="F608" i="1"/>
  <c r="F606" i="1"/>
  <c r="F605" i="1"/>
  <c r="F604" i="1"/>
  <c r="F594" i="1"/>
  <c r="F593" i="1"/>
  <c r="F592" i="1"/>
  <c r="F590" i="1"/>
  <c r="F662" i="1"/>
  <c r="F589" i="1"/>
  <c r="F588" i="1"/>
  <c r="F661" i="1"/>
  <c r="F587" i="1"/>
  <c r="F586" i="1"/>
  <c r="F585" i="1"/>
  <c r="F584" i="1"/>
  <c r="F583" i="1"/>
  <c r="F582" i="1"/>
  <c r="F580" i="1"/>
  <c r="F578" i="1"/>
  <c r="F576" i="1"/>
  <c r="F567" i="1"/>
  <c r="F555" i="1"/>
  <c r="F553" i="1"/>
  <c r="F552" i="1"/>
  <c r="F551" i="1"/>
  <c r="F660" i="1"/>
  <c r="F646" i="1"/>
  <c r="F541" i="1"/>
  <c r="F540" i="1"/>
  <c r="F644" i="1"/>
  <c r="F643" i="1"/>
  <c r="F539" i="1"/>
  <c r="F537" i="1"/>
  <c r="F641" i="1"/>
  <c r="F640" i="1"/>
  <c r="F533" i="1"/>
  <c r="F636" i="1"/>
  <c r="F635" i="1"/>
  <c r="F634" i="1"/>
  <c r="F633" i="1"/>
  <c r="F632" i="1"/>
  <c r="F513" i="1"/>
  <c r="F512" i="1"/>
  <c r="F510" i="1"/>
  <c r="F614" i="1"/>
  <c r="F507" i="1"/>
  <c r="F506" i="1"/>
  <c r="F504" i="1"/>
  <c r="F503" i="1"/>
  <c r="F501" i="1"/>
  <c r="F500" i="1"/>
  <c r="F498" i="1"/>
  <c r="F497" i="1"/>
  <c r="F496" i="1"/>
  <c r="F630" i="1"/>
  <c r="F488" i="1"/>
  <c r="F622" i="1"/>
  <c r="F621" i="1"/>
  <c r="F620" i="1"/>
  <c r="F617" i="1"/>
  <c r="F482" i="1"/>
  <c r="F481" i="1"/>
  <c r="F480" i="1"/>
  <c r="F479" i="1"/>
  <c r="F477" i="1"/>
  <c r="F476" i="1"/>
  <c r="F474" i="1"/>
  <c r="F473" i="1"/>
  <c r="F615" i="1"/>
  <c r="F464" i="1"/>
  <c r="F463" i="1"/>
  <c r="F461" i="1"/>
  <c r="F459" i="1"/>
  <c r="F458" i="1"/>
  <c r="F457" i="1"/>
  <c r="F456" i="1"/>
  <c r="F455" i="1"/>
  <c r="F454" i="1"/>
  <c r="F453" i="1"/>
  <c r="F452" i="1"/>
  <c r="F451" i="1"/>
  <c r="F450" i="1"/>
  <c r="F449" i="1"/>
  <c r="F447" i="1"/>
  <c r="F438" i="1"/>
  <c r="F437" i="1"/>
  <c r="F436" i="1"/>
  <c r="F434" i="1"/>
  <c r="F433" i="1"/>
  <c r="F432" i="1"/>
  <c r="F431" i="1"/>
  <c r="F430" i="1"/>
  <c r="F428" i="1"/>
  <c r="F426" i="1"/>
  <c r="F425" i="1"/>
  <c r="F424" i="1"/>
  <c r="F423" i="1"/>
  <c r="F415" i="1"/>
  <c r="F414" i="1"/>
  <c r="F412" i="1"/>
  <c r="F411" i="1"/>
  <c r="F410" i="1"/>
  <c r="F409" i="1"/>
  <c r="F408" i="1"/>
  <c r="F407" i="1"/>
  <c r="F406" i="1"/>
  <c r="F405" i="1"/>
  <c r="F402" i="1"/>
  <c r="F401" i="1"/>
  <c r="F400" i="1"/>
  <c r="F399" i="1"/>
  <c r="F398" i="1"/>
  <c r="F397" i="1"/>
  <c r="F388" i="1"/>
  <c r="F387" i="1"/>
  <c r="F386" i="1"/>
  <c r="F385" i="1"/>
  <c r="F384" i="1"/>
  <c r="F380" i="1"/>
  <c r="F360" i="1"/>
  <c r="F359" i="1"/>
  <c r="F358" i="1"/>
  <c r="F357" i="1"/>
  <c r="F356" i="1"/>
  <c r="F355" i="1"/>
  <c r="F354" i="1"/>
  <c r="F353" i="1"/>
  <c r="F352" i="1"/>
  <c r="F351" i="1"/>
  <c r="F350" i="1"/>
  <c r="F285" i="1"/>
  <c r="F284" i="1"/>
  <c r="F283" i="1"/>
  <c r="F282" i="1"/>
  <c r="F281" i="1"/>
  <c r="F349" i="1"/>
  <c r="F346" i="1"/>
  <c r="F338" i="1"/>
  <c r="F337" i="1"/>
  <c r="F336" i="1"/>
  <c r="F335" i="1"/>
  <c r="F334" i="1"/>
  <c r="F332" i="1"/>
  <c r="F331" i="1"/>
  <c r="F330" i="1"/>
  <c r="F329" i="1"/>
  <c r="F328" i="1"/>
  <c r="F327" i="1"/>
  <c r="F326" i="1"/>
  <c r="F325" i="1"/>
  <c r="F324" i="1"/>
  <c r="F323" i="1"/>
  <c r="F314" i="1"/>
  <c r="F313" i="1"/>
  <c r="F304" i="1"/>
  <c r="F303" i="1"/>
  <c r="F302" i="1"/>
  <c r="F301" i="1"/>
  <c r="F291" i="1"/>
  <c r="F279" i="1"/>
  <c r="F277" i="1"/>
  <c r="F267" i="1"/>
  <c r="F265" i="1"/>
  <c r="F290" i="1"/>
  <c r="F264" i="1"/>
  <c r="F262" i="1"/>
  <c r="F260" i="1"/>
  <c r="F259" i="1"/>
  <c r="F258" i="1"/>
  <c r="F257" i="1"/>
  <c r="F248" i="1"/>
  <c r="F247" i="1"/>
  <c r="F245" i="1"/>
  <c r="F244" i="1"/>
  <c r="F243" i="1"/>
  <c r="F242" i="1"/>
  <c r="F241" i="1"/>
  <c r="F240" i="1"/>
  <c r="F238" i="1"/>
  <c r="F237" i="1"/>
  <c r="F232" i="1"/>
  <c r="F236" i="1"/>
  <c r="F224" i="1"/>
  <c r="F235" i="1"/>
  <c r="F223" i="1"/>
  <c r="F222" i="1"/>
  <c r="F221" i="1"/>
  <c r="F220" i="1"/>
  <c r="F211" i="1"/>
  <c r="F210" i="1"/>
  <c r="F209" i="1"/>
  <c r="F201" i="1"/>
  <c r="F200" i="1"/>
  <c r="F199" i="1"/>
  <c r="F198" i="1"/>
  <c r="F197" i="1"/>
  <c r="F196" i="1"/>
  <c r="F195" i="1"/>
  <c r="F194" i="1"/>
  <c r="F193" i="1"/>
  <c r="F192" i="1"/>
  <c r="F191" i="1"/>
  <c r="F190" i="1"/>
  <c r="F189" i="1"/>
  <c r="F188" i="1"/>
  <c r="F186" i="1"/>
  <c r="F185" i="1"/>
  <c r="F184" i="1"/>
  <c r="F183" i="1"/>
  <c r="F182" i="1"/>
  <c r="I223" i="1" l="1"/>
  <c r="I389" i="1"/>
  <c r="I541" i="1"/>
  <c r="I799" i="1"/>
  <c r="I439" i="1"/>
  <c r="I568" i="1"/>
  <c r="I755" i="1"/>
  <c r="I818" i="1"/>
  <c r="I860" i="1"/>
  <c r="I839" i="1"/>
  <c r="I877" i="1"/>
  <c r="I464" i="1"/>
  <c r="I728" i="1"/>
  <c r="I338" i="1"/>
  <c r="I488" i="1"/>
  <c r="I595" i="1"/>
  <c r="I649" i="1"/>
  <c r="I201" i="1"/>
  <c r="I515" i="1"/>
  <c r="I291" i="1"/>
  <c r="I363" i="1"/>
  <c r="I415" i="1"/>
  <c r="I701" i="1"/>
  <c r="I267" i="1"/>
  <c r="I245" i="1"/>
  <c r="I622" i="1"/>
  <c r="I314" i="1"/>
  <c r="I674" i="1"/>
  <c r="I777" i="1"/>
  <c r="G924" i="1"/>
  <c r="F170" i="1"/>
  <c r="F139" i="1"/>
  <c r="F138" i="1"/>
  <c r="F167" i="1"/>
  <c r="F137" i="1"/>
  <c r="F136" i="1"/>
  <c r="F125" i="1"/>
  <c r="F163" i="1"/>
  <c r="F159" i="1"/>
  <c r="F151" i="1"/>
  <c r="F148" i="1"/>
  <c r="F124" i="1"/>
  <c r="F123" i="1"/>
  <c r="F122" i="1"/>
  <c r="F121" i="1"/>
  <c r="F120" i="1"/>
  <c r="F119" i="1"/>
  <c r="F118" i="1"/>
  <c r="F117" i="1"/>
  <c r="F116" i="1"/>
  <c r="F115" i="1"/>
  <c r="F114" i="1"/>
  <c r="F113" i="1"/>
  <c r="F112" i="1"/>
  <c r="F103" i="1"/>
  <c r="F102" i="1"/>
  <c r="F101" i="1"/>
  <c r="F100" i="1"/>
  <c r="F99" i="1"/>
  <c r="F98" i="1"/>
  <c r="F97" i="1"/>
  <c r="F96" i="1"/>
  <c r="F95" i="1"/>
  <c r="F94" i="1"/>
  <c r="F93" i="1"/>
  <c r="F92" i="1"/>
  <c r="F91" i="1"/>
  <c r="F90" i="1"/>
  <c r="F89" i="1"/>
  <c r="F88" i="1"/>
  <c r="F87" i="1"/>
  <c r="F78" i="1"/>
  <c r="F77" i="1"/>
  <c r="F76" i="1"/>
  <c r="F75" i="1"/>
  <c r="F74" i="1"/>
  <c r="F73" i="1"/>
  <c r="F72" i="1"/>
  <c r="F71" i="1"/>
  <c r="F70" i="1"/>
  <c r="F69" i="1"/>
  <c r="F68" i="1"/>
  <c r="F67" i="1"/>
  <c r="F66" i="1"/>
  <c r="F65" i="1"/>
  <c r="F64" i="1"/>
  <c r="F63" i="1"/>
  <c r="F62" i="1"/>
  <c r="F61" i="1"/>
  <c r="F52" i="1"/>
  <c r="F51" i="1"/>
  <c r="F50" i="1"/>
  <c r="F49" i="1"/>
  <c r="F48" i="1"/>
  <c r="F47" i="1"/>
  <c r="F46" i="1"/>
  <c r="F45" i="1"/>
  <c r="F44" i="1"/>
  <c r="F43" i="1"/>
  <c r="F42" i="1"/>
  <c r="F41" i="1"/>
  <c r="F40" i="1"/>
  <c r="F39" i="1"/>
  <c r="F143" i="1"/>
  <c r="F35" i="1"/>
  <c r="F34" i="1"/>
  <c r="F26" i="1"/>
  <c r="F25" i="1"/>
  <c r="F24" i="1"/>
  <c r="F23" i="1"/>
  <c r="F22" i="1"/>
  <c r="F135" i="1"/>
  <c r="F20" i="1"/>
  <c r="F19" i="1"/>
  <c r="F18" i="1"/>
  <c r="F13" i="1"/>
  <c r="F12" i="1"/>
  <c r="F11" i="1"/>
  <c r="F10" i="1"/>
  <c r="F9" i="1"/>
  <c r="I120" i="1" l="1"/>
  <c r="I23" i="1"/>
  <c r="I76" i="1"/>
  <c r="I49" i="1"/>
  <c r="I127" i="1"/>
  <c r="I165" i="1"/>
  <c r="I172" i="1"/>
  <c r="F924" i="1" l="1"/>
  <c r="E300" i="1"/>
  <c r="E300" i="1" a="1"/>
  <c r="H314" i="1"/>
</calcChain>
</file>

<file path=xl/metadata.xml><?xml version="1.0" encoding="utf-8"?>
<metadata xmlns="http://schemas.openxmlformats.org/spreadsheetml/2006/main">
  <metadataTypes count="1">
    <metadataType name="XLDAPR" minSupportedVersion="120000" copy="1" pasteAll="1" pasteValues="1" merge="1" splitFirst="1" rowColShift="1" clearFormats="1" clearComments="1" assign="1" coerce="1" cellMeta="1"/>
  </metadataTypes>
  <futureMetadata name="XLDAPR" count="1">
    <bk>
      <extLst>
        <ext xmlns:xda="http://schemas.microsoft.com/office/spreadsheetml/2017/dynamicarray"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<sst xmlns="http://schemas.openxmlformats.org/spreadsheetml/2006/main" count="1212" uniqueCount="680">
  <si>
    <t>State Institute of Rural Development, (SIRD), Imphal</t>
  </si>
  <si>
    <t>Centre for Development Activities</t>
  </si>
  <si>
    <t>Rural Development Society, Manipur</t>
  </si>
  <si>
    <t>Social Human Action for Rural Empowerment Society</t>
  </si>
  <si>
    <t>Regional Institute of Medical Sciences(RIMS), Imphal</t>
  </si>
  <si>
    <t>Incentivization of Panchayat</t>
  </si>
  <si>
    <t>Organic Value Chain Development for North East Region</t>
  </si>
  <si>
    <t>Directorate of Environment, Department of Environment and Forests, Govt. of Manipur</t>
  </si>
  <si>
    <t>Manipur Livestcok Development Board Ltd.</t>
  </si>
  <si>
    <t>Jan Shikshan Sansthan, Imphal West (Manipur)</t>
  </si>
  <si>
    <t>Jan Shikshan Sansthan, Senapati</t>
  </si>
  <si>
    <t>Jan Shikshan Sansthan, Thoubal</t>
  </si>
  <si>
    <t>Department of Social Welfare, Government of Manipur</t>
  </si>
  <si>
    <t>Society for Womens Education Action and Reflection</t>
  </si>
  <si>
    <t>United Rural Development Service</t>
  </si>
  <si>
    <t>Ima Leimarel Women Welfare Association</t>
  </si>
  <si>
    <t>Integrated Rural Development Agency</t>
  </si>
  <si>
    <t>Integrated Rural Development And Educational Organisation IRDEO</t>
  </si>
  <si>
    <t>Integrated Rural Upliftment Srvices</t>
  </si>
  <si>
    <t>Kumbi Khullakpam Leikai Womens Assocaiton</t>
  </si>
  <si>
    <t>Bashikong Chanura Sinlon Lup</t>
  </si>
  <si>
    <t>Rural Industries Development Association</t>
  </si>
  <si>
    <t>Health for All Organisation</t>
  </si>
  <si>
    <t>Social Development &amp; Rehabilitation Council</t>
  </si>
  <si>
    <t>New Integrated Rural Management Agency</t>
  </si>
  <si>
    <t>South Eastern Rural Development Organisation</t>
  </si>
  <si>
    <t>Volunteers For Rural Health and Action (VORHA)</t>
  </si>
  <si>
    <t>Wangjing Women and Girls Society  WWAGS</t>
  </si>
  <si>
    <t>Youth Progressive Organization</t>
  </si>
  <si>
    <t>Born Again Rehabilitation Centre, Ukhrul, Manipur</t>
  </si>
  <si>
    <t>Community Development Programme Centre</t>
  </si>
  <si>
    <t>Galaxy Club</t>
  </si>
  <si>
    <t>Integrated Women &amp; Child Development Centre</t>
  </si>
  <si>
    <t>Kha- Manipur Yoga and Nature Cure Association</t>
  </si>
  <si>
    <t>Manipur Rural Institute Society</t>
  </si>
  <si>
    <t>Social Upliftment Association</t>
  </si>
  <si>
    <t>Agent for Social Change</t>
  </si>
  <si>
    <t>Rural Development Association</t>
  </si>
  <si>
    <t>Rural Voluntary Services</t>
  </si>
  <si>
    <t>Sneha Bhavan</t>
  </si>
  <si>
    <t>Social Care Ministry</t>
  </si>
  <si>
    <t>Social Reformation and Development Organisation</t>
  </si>
  <si>
    <t>The Youth Development Organisation</t>
  </si>
  <si>
    <t>United Voluntary Youth Council</t>
  </si>
  <si>
    <t>Office of Agriculture Officer (Market Intelligence), Manipur</t>
  </si>
  <si>
    <t>National Programme for Dairy Development</t>
  </si>
  <si>
    <t>Manipur Milk Producers Co-operative Union Ltd.</t>
  </si>
  <si>
    <t>District Collector Imphal East BBBP</t>
  </si>
  <si>
    <t>DC One Stop Centre, Churachandpur</t>
  </si>
  <si>
    <t>District Magistrate, One Stop Centre, Imphal East</t>
  </si>
  <si>
    <t>Deputy Commissioner, Kakching &amp; District Programme Officer, ICDS Thoubal</t>
  </si>
  <si>
    <t>Implementing Agency</t>
  </si>
  <si>
    <t>Appendix VI</t>
  </si>
  <si>
    <t>Direct Transfer of Central Scheme Funds to implementing agencies in the State</t>
  </si>
  <si>
    <t>(Funds routed outside State Budget) (Unaudited Figures)</t>
  </si>
  <si>
    <t>2020-21</t>
  </si>
  <si>
    <t>Deputy Commissioner, Tengnoupal</t>
  </si>
  <si>
    <t>2021-22</t>
  </si>
  <si>
    <t>Bishnupur Zilla Panchayat</t>
  </si>
  <si>
    <t>Imphal West Zilla Panchayat</t>
  </si>
  <si>
    <t>Public Health Engineering Department, Government of Manipur</t>
  </si>
  <si>
    <t>Atal Vayo Abhyuday Yojana (AVYAY)</t>
  </si>
  <si>
    <t>Central Agricultural University</t>
  </si>
  <si>
    <t>Social Awareness Service Organisation, IDU 250 plus OST60</t>
  </si>
  <si>
    <t>SAMBAL (Beti Bachao Beti Padhao One Stop Centre Mahila Police Volunteer Women helpline Nari Adalat etc)</t>
  </si>
  <si>
    <t>DM One Stop Centre, Noney</t>
  </si>
  <si>
    <t>PIA TML 5</t>
  </si>
  <si>
    <t>SAMARTHYA (Shakti Sadan (Swadhar Ujjawala Widow Home) Shakhi Niwas Palna PMMVY Naional Hub for Women Empowerment Gender Budgeting Research Skilling Training Media etc)</t>
  </si>
  <si>
    <t>Agriculture Census and Statistics</t>
  </si>
  <si>
    <t>Rashtriya Krishi Vikas Yojna</t>
  </si>
  <si>
    <t>Government of India Scheme</t>
  </si>
  <si>
    <t>Centrally Sponsored Scheme</t>
  </si>
  <si>
    <t>(₹ in lakh)</t>
  </si>
  <si>
    <t>Keinou-GP</t>
  </si>
  <si>
    <t>Waiton-GP</t>
  </si>
  <si>
    <t>Top Dusara- GP</t>
  </si>
  <si>
    <t>Mayeng Lamjao-GP</t>
  </si>
  <si>
    <t>Manipur Organic Mission Agency (MOMA)</t>
  </si>
  <si>
    <t>Rashtriya Gokul Mission</t>
  </si>
  <si>
    <t>Conservation of Aquatic Eco systems</t>
  </si>
  <si>
    <t>Development of Skills</t>
  </si>
  <si>
    <t>Jan Shikshan Sansthan (JSS)</t>
  </si>
  <si>
    <t>Rural Health Organisation, Imphal</t>
  </si>
  <si>
    <t>Promotion of Apprenticeship</t>
  </si>
  <si>
    <t>NHPC Loktak Power Station Manipur</t>
  </si>
  <si>
    <t>National Action Plan for Drug Demand Reduction (SJE)</t>
  </si>
  <si>
    <t>Institute for Social Disease</t>
  </si>
  <si>
    <t>Nirvana Foundation</t>
  </si>
  <si>
    <t>Deputy Commissioner, Chandel</t>
  </si>
  <si>
    <t>Rural Service Agency (RUSA)</t>
  </si>
  <si>
    <t>Centre of Rural Upliftment Service (CRUS)</t>
  </si>
  <si>
    <t>Deputy Commissioner, Bishnupur</t>
  </si>
  <si>
    <t>Deputy Commissioner Jiribam MDM</t>
  </si>
  <si>
    <t>Deputy Commissioner Kamjong</t>
  </si>
  <si>
    <t>OSC PZL Manipur</t>
  </si>
  <si>
    <t>Beti Bachao Beti Padhao (BBBP) Senapati</t>
  </si>
  <si>
    <t>Pradhan Mantri Ayushman Bharat Health Infrastructure Mission (PM-ABHIM)</t>
  </si>
  <si>
    <t>Jal Jeevan Mission (JJM)/National Rural Drinking Water Mission</t>
  </si>
  <si>
    <t>Boys and Girls Hostel OBC</t>
  </si>
  <si>
    <t>Government of India Releases</t>
  </si>
  <si>
    <t>Deputy Commissisoner, Senapati</t>
  </si>
  <si>
    <t>One Stop Centre Scheme, Thoubal District,Manipur</t>
  </si>
  <si>
    <t>Deputy Commissioner, Ukhrul</t>
  </si>
  <si>
    <t>Deputy Commissioner, Imphal West</t>
  </si>
  <si>
    <t>NIELIT Imphal</t>
  </si>
  <si>
    <t xml:space="preserve">Total </t>
  </si>
  <si>
    <t>Biotechnology Research and Development</t>
  </si>
  <si>
    <t>Institute of Bioresources and Sustainable Development</t>
  </si>
  <si>
    <t>Manipur University</t>
  </si>
  <si>
    <t>Industrial and Entrepreneurship Development</t>
  </si>
  <si>
    <t>Schemes of North East Council - Special Development Projects</t>
  </si>
  <si>
    <t>Eastern Border Areas Development Authority Manipur</t>
  </si>
  <si>
    <t>Indira Gandhi National Tribal University - Regional Campus Manipur</t>
  </si>
  <si>
    <t>Manipur Industrial Development Corporation Ltd</t>
  </si>
  <si>
    <t>District Rural Development Agency Chandel</t>
  </si>
  <si>
    <t>Planning Department, Govt. of Manipur</t>
  </si>
  <si>
    <t>Tourism Corporation of Manipur Limited</t>
  </si>
  <si>
    <t>Research, Education and Training Outreach (REACHOUT)</t>
  </si>
  <si>
    <t>Human Development Agency</t>
  </si>
  <si>
    <t>Yaiphabi Handloom Weavers Co-operative  Society Ltd.</t>
  </si>
  <si>
    <t>Media and Publicity-Panchayati Raj</t>
  </si>
  <si>
    <t>Management Support to Rural Development Programs and Strengthening of District Planning Process</t>
  </si>
  <si>
    <t>Top Class Education for SCs</t>
  </si>
  <si>
    <t>National Institute of Technology, Manipur</t>
  </si>
  <si>
    <t>Schemes for differently Abled persons</t>
  </si>
  <si>
    <t>Deendayal Disabled Rehabilitation Scheme</t>
  </si>
  <si>
    <t>Council for Development of Poor &amp; Labourers</t>
  </si>
  <si>
    <t>Educational and Rural Development Organisation</t>
  </si>
  <si>
    <t>Kangchup Area Tribal Women Society</t>
  </si>
  <si>
    <t>Manipur Guidance Centre (MAGC)</t>
  </si>
  <si>
    <t>The Pioneer Development Association</t>
  </si>
  <si>
    <t>Re-Creation Avoluntary Agency</t>
  </si>
  <si>
    <t>Social and Health Development Organisation</t>
  </si>
  <si>
    <t>Type Writing Institution &amp; Rural Development Services (TWIRDS)</t>
  </si>
  <si>
    <t>Assistance to IHMS/FCIs/IITTM/NIWS</t>
  </si>
  <si>
    <t>Institute of Hotel Management, Catering Technology &amp; Applied Nutrition, Imphal, Manipur</t>
  </si>
  <si>
    <t>National Felloship and Scholarship for higher education of ST Students</t>
  </si>
  <si>
    <t>National Hydrology Project</t>
  </si>
  <si>
    <t>Irrigation and Flood Control Department, Govt of Manipur</t>
  </si>
  <si>
    <t>Member of Parliament Local Area Development Scheme (MPLAD)</t>
  </si>
  <si>
    <t>Deputy Commissioner Imphal East</t>
  </si>
  <si>
    <t>Deputy Commissioner ,Senapati</t>
  </si>
  <si>
    <t>Handloom Weaver Comprehensive Welfare Scheme (HWCWS)</t>
  </si>
  <si>
    <t>Design and Technical Upgradation Scheme</t>
  </si>
  <si>
    <t>Luwangpokpa Women Welfare Association</t>
  </si>
  <si>
    <t>Khagemba Handloom &amp; Handicrafts Co-operative Society Ltd.</t>
  </si>
  <si>
    <t>Ambedkar Hasthshilp Vikas Yojana</t>
  </si>
  <si>
    <t>The Yaipha Thourang Handloom &amp; Handicrafts Co-operative Society Limited</t>
  </si>
  <si>
    <t>Female Handloom Handicarft Cooperative Society Ltd</t>
  </si>
  <si>
    <t>Handicrafts Artisans comprehensive welfare scheme</t>
  </si>
  <si>
    <t>Human Resource Development- Handicrafts</t>
  </si>
  <si>
    <t>Manipur Khadi &amp; Village Industries Board</t>
  </si>
  <si>
    <t>Marketing Support and Services</t>
  </si>
  <si>
    <t>Crafts And Social Development Organisation</t>
  </si>
  <si>
    <t>Research and Development - Handicrafts</t>
  </si>
  <si>
    <t>RIMS, Regional Medical Institute of Medical Sciences, Imphal, Manipur</t>
  </si>
  <si>
    <t>Science and Technology Institutional and Human Capacity Building</t>
  </si>
  <si>
    <t>Manipur Science &amp; Technology Council</t>
  </si>
  <si>
    <t>Oriental College,(Autonomous)</t>
  </si>
  <si>
    <t>Kangla Foundation</t>
  </si>
  <si>
    <t>Centre for Rural Empowerment and Development Organisation</t>
  </si>
  <si>
    <t>The Green Foundation</t>
  </si>
  <si>
    <t>Infrastructure and Technology Development Scheme</t>
  </si>
  <si>
    <t>The Apunba Cultural Training Association (ACTA)</t>
  </si>
  <si>
    <t>Heibok Ningthou Thang-Ta Association</t>
  </si>
  <si>
    <t>Allied Sciences and Social Development Organisation</t>
  </si>
  <si>
    <t>Friends Re-Union For Development</t>
  </si>
  <si>
    <t>Huyel Langlon Thang Ta Association Manipur</t>
  </si>
  <si>
    <t>Institue of Performing Arts</t>
  </si>
  <si>
    <t>Kanglei Mime Theatre Repertory</t>
  </si>
  <si>
    <t>Media Theatre Institute</t>
  </si>
  <si>
    <t>Lianda Folk and Classical Academy</t>
  </si>
  <si>
    <t>The Manipuri Manaharsai Ashram</t>
  </si>
  <si>
    <t>Peoples Socio Cultural Organisation</t>
  </si>
  <si>
    <t>Moppet Decoration and Cultural Centre</t>
  </si>
  <si>
    <t>Preservation of Manipuri Martial Art &amp; Cultural Research Centre</t>
  </si>
  <si>
    <t>North Eastern Theatre Association</t>
  </si>
  <si>
    <t>Meetei Thang Satjal Cultural Association (MEETHASCA)</t>
  </si>
  <si>
    <t>Institute of Manipuri Performing Arts</t>
  </si>
  <si>
    <t>Nongeen Arts &amp; Culture Association Manipur</t>
  </si>
  <si>
    <t>Kanglei Sheishaklon Shindamshang</t>
  </si>
  <si>
    <t>Kangleipak Thang Ta Cultural Academy</t>
  </si>
  <si>
    <t>The Friends of People</t>
  </si>
  <si>
    <t>Yoiyai Traditional Cultural Centre</t>
  </si>
  <si>
    <t>Eastern Artist Association</t>
  </si>
  <si>
    <t>Malem Apunba Thang Ta Maheikol</t>
  </si>
  <si>
    <t>The North Eastern Dance &amp; Drama Academy</t>
  </si>
  <si>
    <t>The Manipuri Nat Sangeet Ashram</t>
  </si>
  <si>
    <t>Heart of Life</t>
  </si>
  <si>
    <t>Thoubal District Thang Ta Association</t>
  </si>
  <si>
    <t>K. Ibotombi Cultural Academy</t>
  </si>
  <si>
    <t>Pakhangba Huyel Lallong Shindamsang</t>
  </si>
  <si>
    <t>The Living Arts Academy Manipuri Thang Ta</t>
  </si>
  <si>
    <t>Auxiliary Service for Human Affairs</t>
  </si>
  <si>
    <t>Panthoibi Natya Mandir</t>
  </si>
  <si>
    <t>Performing Organisation of Arts And Culture</t>
  </si>
  <si>
    <t>Regional Centre for Cultural Heritage (RCCH)</t>
  </si>
  <si>
    <t>Rhythms of Manipur</t>
  </si>
  <si>
    <t>Shri Shri Govindajiu Bhakti Grantha Kendra Vidyalaya</t>
  </si>
  <si>
    <t>Theatre Mirror</t>
  </si>
  <si>
    <t>The Public Museum</t>
  </si>
  <si>
    <t>Usharani Nata Shankritana Academy</t>
  </si>
  <si>
    <t>Atal Innovation Mission(AIM) including Self Employment and Talent Utilization (SETU)</t>
  </si>
  <si>
    <t>Eastern Ideal High School</t>
  </si>
  <si>
    <t>Jiribam Higher Secondary School</t>
  </si>
  <si>
    <t>Environmental Information Systems</t>
  </si>
  <si>
    <t>Hazardous Substances Management (HSM)</t>
  </si>
  <si>
    <t>Manipur Pollution Control Board</t>
  </si>
  <si>
    <t>Other Handloom Schemes</t>
  </si>
  <si>
    <t>Human Resource and Capacity Development</t>
  </si>
  <si>
    <t>e-Courts Phase II</t>
  </si>
  <si>
    <t>Registrar General, High Court of Manipur</t>
  </si>
  <si>
    <t>Research and Development (DST)</t>
  </si>
  <si>
    <t>Principal, College of Nursing, Medical Directorate, Manipur</t>
  </si>
  <si>
    <t>Health Sector Disaster Preparedness and Response and Human Resources Development for Emergency Medical Services</t>
  </si>
  <si>
    <t>Manipur Renewable Energy Development Agency (MANIREDA)</t>
  </si>
  <si>
    <t>Assistance to State Agencies for intra-state movement of foodgrains and FPS dealers margin under NFSA</t>
  </si>
  <si>
    <t>Directorate of Consumer Affairs, Food &amp; Public Distribution</t>
  </si>
  <si>
    <t>Chil Chil Asian Mission Society (CHAMS), Kanglatongbi, Manipur</t>
  </si>
  <si>
    <t>Christian Grammar School (Child Development Centre),Green Hills, Tamenglong Hq, Manipur</t>
  </si>
  <si>
    <t>Integrated Educational Social Development Organisation (IESDO)</t>
  </si>
  <si>
    <t>Adimjati Shiksha Ashram, Imphal</t>
  </si>
  <si>
    <t>Manipur North Economic Development Association</t>
  </si>
  <si>
    <t>Siamsinpawlpi (Paite Students Welfare Association), Siamsinpawlpi Complex, Bungmual, Churachandpur</t>
  </si>
  <si>
    <t>Bakers Bakery</t>
  </si>
  <si>
    <t>Dept of Agriculture, Manipur</t>
  </si>
  <si>
    <t>Imphal Municipal Corporation</t>
  </si>
  <si>
    <t>Designing Innovative Solutions for Holistic Access to Justice in India (DISHA)</t>
  </si>
  <si>
    <t>Jawaharlal Nehru Institute of Medical Sciences</t>
  </si>
  <si>
    <t>Official Development Assistance for Sustainable Development Goals (EAP Component)</t>
  </si>
  <si>
    <t>Scheme of Residential Education for Students in High School in Targeted Area (SRESHTA) for SCs</t>
  </si>
  <si>
    <t>Manipur State Medicinal Plants Board, Manipur</t>
  </si>
  <si>
    <t>Higher Education Statistics and Public Information  System (HESPIS)</t>
  </si>
  <si>
    <t>National Service Scheme</t>
  </si>
  <si>
    <t>Manipur State NSS Cell</t>
  </si>
  <si>
    <t>Free Coaching for SC and OBC Students</t>
  </si>
  <si>
    <t>National Handloom Development Programme</t>
  </si>
  <si>
    <t>Manipur Handloom &amp; Handicrafts Development Corporation Ltd., Imphal</t>
  </si>
  <si>
    <t>National AIDS and STD Control Programme</t>
  </si>
  <si>
    <t>Manipur State AIDS Control Society</t>
  </si>
  <si>
    <t>Livestock Health and Disease Control</t>
  </si>
  <si>
    <t>JNIMS Porompat Imphal East</t>
  </si>
  <si>
    <t>Regional TASAR Research Station, Imphal</t>
  </si>
  <si>
    <t>National Career Service</t>
  </si>
  <si>
    <t>Central Sector Scheme - Contd.</t>
  </si>
  <si>
    <t>Free Coaching and Allied Schemes for Minorities</t>
  </si>
  <si>
    <t>Youths Step Forward Centre</t>
  </si>
  <si>
    <t>NT Theatre Manipur</t>
  </si>
  <si>
    <t>Directorate of Information Technology and Communication Manipur</t>
  </si>
  <si>
    <t>Director of University and Higher Education, Manipur</t>
  </si>
  <si>
    <t>N.G. College, Imphal</t>
  </si>
  <si>
    <t>State Forest Development Agency, Manipur</t>
  </si>
  <si>
    <t>EE, Technical and Promotional Cell (Hill-II), RCS Office, Imphal, Manipur</t>
  </si>
  <si>
    <t>Relief Centre for the Welfare of Differently Abled Persons Manipur</t>
  </si>
  <si>
    <t>Achievement of Rising Maiden for Institute for Children with Disabilities Manipur</t>
  </si>
  <si>
    <t>Imphal Guardian Society</t>
  </si>
  <si>
    <t>Capacity Development CSO and NSSO</t>
  </si>
  <si>
    <t>Indian Institute of Information Technology, Manipur</t>
  </si>
  <si>
    <t>Department of Textiles, Commerce &amp; Industry</t>
  </si>
  <si>
    <t>Peoples Education for Awareness and Communication</t>
  </si>
  <si>
    <t>Chingsanglakpam Handicraft Cooperative Society Ltd</t>
  </si>
  <si>
    <t>Network of Rural Upliftment</t>
  </si>
  <si>
    <t>Development Advocacy of Rights for Indegenous</t>
  </si>
  <si>
    <t>Alliance for Integrated Management</t>
  </si>
  <si>
    <t>Rural Backward Development Organisation</t>
  </si>
  <si>
    <t>Development of Infrastructure for Promotion of Health Research</t>
  </si>
  <si>
    <t>Innovation, Technology Development and Deployment</t>
  </si>
  <si>
    <t>Unique Trust</t>
  </si>
  <si>
    <t>Centre for Human Resource and Economic Development</t>
  </si>
  <si>
    <t>Rural Economic Development Foundation</t>
  </si>
  <si>
    <t>Peoples Development Foundation</t>
  </si>
  <si>
    <t>Hill Area Development Society</t>
  </si>
  <si>
    <t>Science Teachers Forum, Manipur</t>
  </si>
  <si>
    <t>Luwangpokpa Handicrafts Producer Company Limited</t>
  </si>
  <si>
    <t>Guru Abunghal Dance &amp; Music Centre</t>
  </si>
  <si>
    <t>Kala Sanskriti Vikas Yojana</t>
  </si>
  <si>
    <t>Actor Repertory Theatre</t>
  </si>
  <si>
    <t>All Manipur Gouranggalila &amp; Sansenba Artist Association</t>
  </si>
  <si>
    <t>Banian Repertory Theatre</t>
  </si>
  <si>
    <t>Centre for Social &amp; Cultural Development Manipur</t>
  </si>
  <si>
    <t>Cultural Development Society (CDS)</t>
  </si>
  <si>
    <t>Chorus Repertory Theatre</t>
  </si>
  <si>
    <t>The Centre for Youth &amp; Cultural Activities</t>
  </si>
  <si>
    <t>Forward Artistes Centre En-Camped (FACE)</t>
  </si>
  <si>
    <t>Goodwill Foundation for Culture</t>
  </si>
  <si>
    <t>The Guru Natek Meitei Pung Research Institute</t>
  </si>
  <si>
    <t>Harimati Dance &amp; Music Centre</t>
  </si>
  <si>
    <t>Huyen Lallong Manipur Thang Ta Cultural Association Irilbung</t>
  </si>
  <si>
    <t>Hula Sindamsang</t>
  </si>
  <si>
    <t>Manipuri Jagoi Marup</t>
  </si>
  <si>
    <t>Kanglei Living Arts</t>
  </si>
  <si>
    <t>Kha Manipur Hindustani Sangeet Mahavidyalaya</t>
  </si>
  <si>
    <t>Khoriphaba Artistes Association</t>
  </si>
  <si>
    <t>Khenjonglang (A Centre for Theatre Research Production and Community Welfare)</t>
  </si>
  <si>
    <t>Khurai Kala Bidya Bhavan</t>
  </si>
  <si>
    <t>Kalashetra Manipur</t>
  </si>
  <si>
    <t>Kanglei Shaktam Langba Kanglup</t>
  </si>
  <si>
    <t>Lairenkabi Youth Dramatic Union</t>
  </si>
  <si>
    <t>Lamhil Kuki Cultural Research Centre</t>
  </si>
  <si>
    <t>Liberty Theatre</t>
  </si>
  <si>
    <t>Loijing Loya Leimarol Yaiphakol</t>
  </si>
  <si>
    <t>Manipur Dramatic Union</t>
  </si>
  <si>
    <t>Manipuri Ensemble</t>
  </si>
  <si>
    <t>The Meitei Traditional Dance Teaching School and Performing Centre, Imphnal</t>
  </si>
  <si>
    <t>Meihourol Inat Thang-Ta Apunba Lup</t>
  </si>
  <si>
    <t>Care Mission</t>
  </si>
  <si>
    <t>Manipur Integrated Cultural Centre</t>
  </si>
  <si>
    <t>Leimayon Arts Centre</t>
  </si>
  <si>
    <t>Eastern Thang-Ta Organisation</t>
  </si>
  <si>
    <t>The Kha Manipur Thang-Ta Sindam Sang</t>
  </si>
  <si>
    <t>Tribal Cultures Research Centre</t>
  </si>
  <si>
    <t>Shri Hari Nata Sankirtan Academy</t>
  </si>
  <si>
    <t>Guru Kulla Cultural Academy</t>
  </si>
  <si>
    <t>Social and Cultural Development Organisation (SACDO)</t>
  </si>
  <si>
    <t>Lichat Inat Kanba Lupki Apunba Maheisang (LIKLAM)</t>
  </si>
  <si>
    <t>The Thoibi Thang-Ta Cultural Association</t>
  </si>
  <si>
    <t>Bishnupur District Huyel Langlon Thang Ta Association</t>
  </si>
  <si>
    <t>Tribal Cultural Guild</t>
  </si>
  <si>
    <t>Centre for Tribal Culture</t>
  </si>
  <si>
    <t>Kunja Dance Academy</t>
  </si>
  <si>
    <t>Raag Tarang Mandal</t>
  </si>
  <si>
    <t>Meetei Indegenous Thang Ta and Cultural Institute</t>
  </si>
  <si>
    <t>Inunganbi Manipuri Dance Academy Jiribam</t>
  </si>
  <si>
    <t>Kanglei Jagoi Anoy Leikol (KAJAL)</t>
  </si>
  <si>
    <t>The Integrated Cultural Society</t>
  </si>
  <si>
    <t>All Manipur Waree Leeba Association &amp; Research Centre</t>
  </si>
  <si>
    <t>The Rural Development Foundation</t>
  </si>
  <si>
    <t>The L. Mani Goura Sangeet Akademy (LMGSA)</t>
  </si>
  <si>
    <t>TIM Arts and Culture</t>
  </si>
  <si>
    <t>Lilong Chajing Youth Community Centre Cum Cultural Institute</t>
  </si>
  <si>
    <t>Laipubam Magha Sharma</t>
  </si>
  <si>
    <t>Palem Thang Ta Shindam Shang</t>
  </si>
  <si>
    <t>The Youth Cultural Artists and Crafts Association</t>
  </si>
  <si>
    <t>Sangeet Natya Vidyalay Manipur</t>
  </si>
  <si>
    <t>Srila Sripad Educational Foundation and Cultural Research Centre</t>
  </si>
  <si>
    <t>Wangoi Dramatic Union</t>
  </si>
  <si>
    <t>Dhoni Academy of Dance</t>
  </si>
  <si>
    <t>The Mangan Thang Ta Lup</t>
  </si>
  <si>
    <t>Manipuri Theatre Academy</t>
  </si>
  <si>
    <t>Nimita Devi Nritya Ashram</t>
  </si>
  <si>
    <t>Paradise Theatre</t>
  </si>
  <si>
    <t>People Arts and Dramatic Association</t>
  </si>
  <si>
    <t>Prospective Repertory Theatre Society</t>
  </si>
  <si>
    <t>Public Theatre Artistes Association</t>
  </si>
  <si>
    <t>Panthoibi Thang-Ta &amp; Jagoi Sindam Shanglen</t>
  </si>
  <si>
    <t>Yamjao Lairembi Dramatic and Cultural Union</t>
  </si>
  <si>
    <t>Rupmahal Theatre</t>
  </si>
  <si>
    <t>Kulbi Shong Shong Trial Cultural Centre</t>
  </si>
  <si>
    <t>Sangeet Kala Sangam</t>
  </si>
  <si>
    <t>Tapasya A Centre for Performing Arts</t>
  </si>
  <si>
    <t>Tekcham Gopal Foundation for Arts and Culture</t>
  </si>
  <si>
    <t>The Gulapi Nata Sankirtana Academy</t>
  </si>
  <si>
    <t>The Juvenile Theatre</t>
  </si>
  <si>
    <t>The Loyalam Art and Culture Institute</t>
  </si>
  <si>
    <t>The Manipur Thang Ta Cultural Association</t>
  </si>
  <si>
    <t>The Umbilical Theatre</t>
  </si>
  <si>
    <t>Ningthoukhong Higher Secondary School School Bishnupur</t>
  </si>
  <si>
    <t>Repertory for Performing Arts of Manipur</t>
  </si>
  <si>
    <t>Thanga Island Modern English School, Bishnupur</t>
  </si>
  <si>
    <t>St Xaviers School Moirang</t>
  </si>
  <si>
    <t>Ngaikhong High School Bishnupur</t>
  </si>
  <si>
    <t>Diligent Public School Moirang</t>
  </si>
  <si>
    <t>Kendriya Vidyalaya Churachandpur</t>
  </si>
  <si>
    <t>Rayburn High School Churachandpur</t>
  </si>
  <si>
    <t>Angam Memorial School Chandel</t>
  </si>
  <si>
    <t>MG Evergreen Higher Secondary School Chandel</t>
  </si>
  <si>
    <t>Oriental Academy High School Chandel</t>
  </si>
  <si>
    <t>Kiyamgei Ideal High School Imphal East</t>
  </si>
  <si>
    <t>Tam High School Imphal East</t>
  </si>
  <si>
    <t>Moirangpurel High School Imphal East</t>
  </si>
  <si>
    <t>Camps English Academy Imphal East</t>
  </si>
  <si>
    <t>Merit Scholar English School Imphal East</t>
  </si>
  <si>
    <t>Kids High School Imphal East</t>
  </si>
  <si>
    <t>Pari Imom Khwai Shindam Shang Imphal East</t>
  </si>
  <si>
    <t>Sacred Heart Hr. Secondary School Porompat</t>
  </si>
  <si>
    <t>Mt. Everest Higher Secondary School, Senapati</t>
  </si>
  <si>
    <t>MBC Higher Secondary School Senapati</t>
  </si>
  <si>
    <t>Rangtaiba Memorial Institute Senapati</t>
  </si>
  <si>
    <t>PP Christian English High School Lairouching</t>
  </si>
  <si>
    <t>Holy Cross School NITTADE</t>
  </si>
  <si>
    <t>Trinity Public School Tamenglong</t>
  </si>
  <si>
    <t>Children Training School, Tamenglong</t>
  </si>
  <si>
    <t>Apou Kading High School Tamenglong</t>
  </si>
  <si>
    <t>Merciful English School Thoubal</t>
  </si>
  <si>
    <t>The Brilliant English School Thoubal</t>
  </si>
  <si>
    <t>Excellent Model Academy Ukhongshang</t>
  </si>
  <si>
    <t>Grace Academy Heirok</t>
  </si>
  <si>
    <t>Progressive English School Thoubal</t>
  </si>
  <si>
    <t>Dorendro Memorial English School Thoubal</t>
  </si>
  <si>
    <t>Asui Memorial School Ukhrul</t>
  </si>
  <si>
    <t>Nilapadma Higher Secondary School Imphal East</t>
  </si>
  <si>
    <t>Popular Academy English School Imphal West</t>
  </si>
  <si>
    <t>Paree Imom Sindam Sang Imphal West</t>
  </si>
  <si>
    <t>Iboton Modern School Imphal West</t>
  </si>
  <si>
    <t>Khurkhul Standard English School Imphal West</t>
  </si>
  <si>
    <t>Khurkhul Model Standard High School Imphal West</t>
  </si>
  <si>
    <t>Dynamic Education Foundation</t>
  </si>
  <si>
    <t>Kalachand Public School Imphal West</t>
  </si>
  <si>
    <t>Brighter Star Public School Imphal West</t>
  </si>
  <si>
    <t>Radiant Star Education Centre Sekmai</t>
  </si>
  <si>
    <t>Khuman Maheikol Manipur</t>
  </si>
  <si>
    <t>Alberts English School Imphal West</t>
  </si>
  <si>
    <t>Weavers Service Centre Imphal</t>
  </si>
  <si>
    <t>Khelo India</t>
  </si>
  <si>
    <t>Manipur Sports Development Authority (MSDA)</t>
  </si>
  <si>
    <t>Development of Nursing Services</t>
  </si>
  <si>
    <t>GNM Training School</t>
  </si>
  <si>
    <t>Manipur Nursing Council</t>
  </si>
  <si>
    <t>Solar Power-Grid Interactive</t>
  </si>
  <si>
    <t>Manipur State Power Distribution Company Limited</t>
  </si>
  <si>
    <t>Solar Power-Offgrid</t>
  </si>
  <si>
    <t>Aid to Voluntary Organisations working for the Welfare of Scheduled Tribes</t>
  </si>
  <si>
    <t>WYN Stevens Computer Training Institute</t>
  </si>
  <si>
    <t>Power Tex India</t>
  </si>
  <si>
    <t>Pradhan Mantri Kisan Samman Nidhi (PM-Kisan)</t>
  </si>
  <si>
    <t>Prime Minister Street Vendors Atamnirbhar Nidhi</t>
  </si>
  <si>
    <t>The Western Rural Socio Economic Development Organisation</t>
  </si>
  <si>
    <t>AISHE State Unit Manipur</t>
  </si>
  <si>
    <t>Manipur University, Canchipur</t>
  </si>
  <si>
    <t>Ukhrul District Handloom and Handicraft Federation Ltd</t>
  </si>
  <si>
    <t>North East Road Sector Development Scheme</t>
  </si>
  <si>
    <t>Public Works Department, Government of Manipur</t>
  </si>
  <si>
    <t>Total</t>
  </si>
  <si>
    <t>Grand Total</t>
  </si>
  <si>
    <t>Department of Economic and Statistics Manipur</t>
  </si>
  <si>
    <t>Rural Development Foundation Association</t>
  </si>
  <si>
    <t>Deputy Commissioner, Churachandpur</t>
  </si>
  <si>
    <t>District Magistrate Tamenglong BBBP</t>
  </si>
  <si>
    <t>District Magistrate DC BBBP Thoubal District</t>
  </si>
  <si>
    <t>South East Manipur College, Komlathabi</t>
  </si>
  <si>
    <t>Enhancing Skill Development Corporation Ltd</t>
  </si>
  <si>
    <t>Manipur Tribal Development Corporation Ltd</t>
  </si>
  <si>
    <t>Manipur Centre for Tribal Performing Arts</t>
  </si>
  <si>
    <t>Ukhrul Hills Development Foundation</t>
  </si>
  <si>
    <t>Ukhrul Farmers Development Foundation</t>
  </si>
  <si>
    <t>State Level Nodal Agency (Watershed Management)</t>
  </si>
  <si>
    <t>Department of Science and Technology, Manipur</t>
  </si>
  <si>
    <t>Directorate of RD Government of Manipur</t>
  </si>
  <si>
    <t>Director of Social Welfare</t>
  </si>
  <si>
    <t>Education Research Cell</t>
  </si>
  <si>
    <t>People Advance in Social Service, Churachandpur</t>
  </si>
  <si>
    <t>Regional Institute of Handicapped Persons (RIHP)</t>
  </si>
  <si>
    <t>The Development for Womens Programme Centre</t>
  </si>
  <si>
    <t>The Womens Economic Development Society (WEDS)</t>
  </si>
  <si>
    <t>Sanathoi Silk Embroidery Handloom and Handicraft Cooperative Society Ltd.</t>
  </si>
  <si>
    <t>Matai Handicrafts Producer Company Limited</t>
  </si>
  <si>
    <t>The Leimarel Handloom &amp; Handicraft Co-operative Society Limited</t>
  </si>
  <si>
    <t>Leimarel Handicrafts Producer Company Limited</t>
  </si>
  <si>
    <t>Imphal West Mahila Mandal</t>
  </si>
  <si>
    <t>Kangla Handloom and Handicraft Artisans Co-operative Society Ltd</t>
  </si>
  <si>
    <t>Heeri Konba Handicraft Producer Company Limited</t>
  </si>
  <si>
    <t>Foundation for Environment and Economic Development</t>
  </si>
  <si>
    <t>Kwaklei and Khonggunmlei Orchids</t>
  </si>
  <si>
    <t>Ardent Foundation</t>
  </si>
  <si>
    <t>Imphal College, Imphal</t>
  </si>
  <si>
    <t>Manipur Educational Development and Research Association</t>
  </si>
  <si>
    <t>St George Educational Resource Centre</t>
  </si>
  <si>
    <t>The Minority Peoples and Rural Development Society</t>
  </si>
  <si>
    <t>Rural Social &amp; Educational Development Association</t>
  </si>
  <si>
    <t>United College, Lambung, Chandel</t>
  </si>
  <si>
    <t>Kanglei Enat Thang-Ta shindam Sanglen (KETTSS), Manipur</t>
  </si>
  <si>
    <t>Atal Innovation Mission (AIM) including Self Employment and Talent Utilization (SETU)</t>
  </si>
  <si>
    <t>Thoubal College</t>
  </si>
  <si>
    <t>Integrated Rural Development and Educational Organisation IRDEO</t>
  </si>
  <si>
    <t>Pradhan Mantri Kisan Sampada Yojana-Creation/Expansion of Food Processing &amp; Preservation Capacities</t>
  </si>
  <si>
    <t>Conservation Development and Sustainable Management of Medicinal Plants</t>
  </si>
  <si>
    <t>Establishment and Strengthening of NCDC branches and Health Initiatives Inter Sectoral Coordination for preparation and control of Zoonotic Diseases and Other Neglected Tropical Diseases Surveillance of Viral Hepatitis Anti Microbial Resistance</t>
  </si>
  <si>
    <t>Manipur Livestock Development Board Ltd.</t>
  </si>
  <si>
    <t>Training Schemes-PPG &amp; P</t>
  </si>
  <si>
    <t>State Academy of Training (ATI) under Government of Manipur</t>
  </si>
  <si>
    <t>Development of Museums</t>
  </si>
  <si>
    <t>Khongjom War Memorial Trust</t>
  </si>
  <si>
    <t>Pollution Abatement</t>
  </si>
  <si>
    <t>District Rural Development Agency, Churachandpur</t>
  </si>
  <si>
    <t>Research/Studies, Publicity, Monitoring and Evaluation of Development Schemes for Minorities</t>
  </si>
  <si>
    <t>The Rural Medical and Health Care Centre</t>
  </si>
  <si>
    <t>Directorate of Transport, Government of Manipur</t>
  </si>
  <si>
    <t>Economic Census</t>
  </si>
  <si>
    <t>Directorate of Economic and Statistics, Manipur</t>
  </si>
  <si>
    <t>Research and Development and Implementation of National Water Mission</t>
  </si>
  <si>
    <t>Kangla Handloom and Handicraft Artisans Co operative Society Ltd</t>
  </si>
  <si>
    <t>Supporting Community Radio Movement in India</t>
  </si>
  <si>
    <t>Womens Helpline</t>
  </si>
  <si>
    <t>Women Helpline 181 Manipur</t>
  </si>
  <si>
    <t>Land Records Modernization Programme</t>
  </si>
  <si>
    <t>Programme Management Unit for National Land Record Modernisation Programme (PMU for NLRMP) in Manipur</t>
  </si>
  <si>
    <t>Trade Infrastructure for Export Schemes (TIES)</t>
  </si>
  <si>
    <t>Manipur Insustrial Development Corporation Ltd</t>
  </si>
  <si>
    <t>Environmental Education, Awareness and Training</t>
  </si>
  <si>
    <t>Relief and Rehabilitation for migrants and repatriates</t>
  </si>
  <si>
    <t>Deputy Commissioner, Thoubal</t>
  </si>
  <si>
    <t>Skill Development Initiatives (MoMA)</t>
  </si>
  <si>
    <t>Integrated Rural Development and Educational Organisation</t>
  </si>
  <si>
    <t>Social Amelioration Society</t>
  </si>
  <si>
    <t>Pradhan Mantri Matru Vandana Yojana</t>
  </si>
  <si>
    <t>Pradhan Mantri Kisan Sampada Yojana-Mega Food Parks</t>
  </si>
  <si>
    <t>Manipur Food Industries Corporation Limited (MFICL)</t>
  </si>
  <si>
    <t>Pradhan Mantri Kisan Sampada Yojana-Food Safety</t>
  </si>
  <si>
    <t>Pradhan Mantri Kisan Sampada</t>
  </si>
  <si>
    <t>Strengthening of Infrastructure for Institutional Training</t>
  </si>
  <si>
    <t>Enhancing Skill Development Infrastructure Society Manipur</t>
  </si>
  <si>
    <t>The Centre for Upliftment of Rural Women Association</t>
  </si>
  <si>
    <t>The Manipur Scheduled Caste Welfare Association</t>
  </si>
  <si>
    <t>Rural Medical Institute</t>
  </si>
  <si>
    <t>Rural Peoples Development Organization</t>
  </si>
  <si>
    <t>National Animal Disease Control Programme for Foot and Mouth Disease (FMD) and Brucellosis</t>
  </si>
  <si>
    <t>Kisan Urja Suraksha Evam Utthaan Mahabhiyan-off Grid (KUSUM)</t>
  </si>
  <si>
    <t>Scheme for Usage of Geotextiles in North East</t>
  </si>
  <si>
    <t>Department of Command Area Development</t>
  </si>
  <si>
    <t>Monitoring &amp; Quality Control Division, PWD, Manipur</t>
  </si>
  <si>
    <t>NER Textiles Promotion Scheme</t>
  </si>
  <si>
    <t>Directorate of Sericultue, Govt. of Manipur, Imphal</t>
  </si>
  <si>
    <t>National Rural Health Mission</t>
  </si>
  <si>
    <t>State Rural Livelihood Mission - Manipur</t>
  </si>
  <si>
    <t>Upgrading Skills and Training in Traditional Arts/Crafts for Development (USTTAD)</t>
  </si>
  <si>
    <t>Hao Crafts Society</t>
  </si>
  <si>
    <t>Working Women Hostel</t>
  </si>
  <si>
    <t>Pioneer Welfare Association</t>
  </si>
  <si>
    <t>Assistance to Voluntary Organisation Working for Welfare of SCs</t>
  </si>
  <si>
    <t>IGNOU Oinam Ibohal Polytechnic Community College</t>
  </si>
  <si>
    <t>The Easten Social Welfare Association (ESWA)</t>
  </si>
  <si>
    <t>Westen Rural Socio Economic Development Organisation</t>
  </si>
  <si>
    <t>Ongoing Programme and Schemes-Power</t>
  </si>
  <si>
    <t>Mothers Pride Academy</t>
  </si>
  <si>
    <t>Gandha Memorial English School Phubala</t>
  </si>
  <si>
    <t>Gulap School Nambol</t>
  </si>
  <si>
    <t>Royal Academy AMS Chingphu Chinglak</t>
  </si>
  <si>
    <t>Sambanlei Sekpil School Bishnupur</t>
  </si>
  <si>
    <t>Toupokpi High School Bishnupur</t>
  </si>
  <si>
    <t>Churachand Hr. Secondary School</t>
  </si>
  <si>
    <t>Langdum High School Imphal East</t>
  </si>
  <si>
    <t>The Yambem High School Imphal East</t>
  </si>
  <si>
    <t>Martin Grammar School</t>
  </si>
  <si>
    <t>Apex Christian High School</t>
  </si>
  <si>
    <t>Ngaimel Children School Keithelmanbi</t>
  </si>
  <si>
    <t>Lighthouse School Kangpokpi</t>
  </si>
  <si>
    <t>Victory High School Kakching</t>
  </si>
  <si>
    <t>Ukhrul Public School Ukhrul</t>
  </si>
  <si>
    <t>Standard Robarth Higher Secondary School</t>
  </si>
  <si>
    <t>Kindergarten Montessori School</t>
  </si>
  <si>
    <t>The Deal Repertory Theatre</t>
  </si>
  <si>
    <t>Ougree Theatre Repertory</t>
  </si>
  <si>
    <t>Guru Irabot Institute of Manipur Culture</t>
  </si>
  <si>
    <t>Devishori Foundation for Arts and Cultural Efforts</t>
  </si>
  <si>
    <t>The Temple of Art and Culture Centre</t>
  </si>
  <si>
    <t>Iramdam Development Organisation</t>
  </si>
  <si>
    <t>Ibudhou Loyalakpa Manipuri Dance Group</t>
  </si>
  <si>
    <t>Academy of Indegenous Music (AIM)</t>
  </si>
  <si>
    <t>Manipur Cultural Ashram</t>
  </si>
  <si>
    <t>Meitei Ipa Ipu Salai Inat Khongul Liba</t>
  </si>
  <si>
    <t>Ascent Repertory Theatre Imphal</t>
  </si>
  <si>
    <t>Eastern Kala Vidya Thang Ta Association</t>
  </si>
  <si>
    <t>Nongpok Ingouba Cultural Academy</t>
  </si>
  <si>
    <t>The Academy for Cultural Resources &amp; Training</t>
  </si>
  <si>
    <t>Nepra Arts and Culture Academy</t>
  </si>
  <si>
    <t>Leitanthem Ranjita Devi</t>
  </si>
  <si>
    <t>Anoisang Urmika Natyasala</t>
  </si>
  <si>
    <t>Huyen Lanjang Thang Ta Cultural Association</t>
  </si>
  <si>
    <t>Landmark Society</t>
  </si>
  <si>
    <t>Oriental Martial Art and Cultural</t>
  </si>
  <si>
    <t>Archival Centre for Arts</t>
  </si>
  <si>
    <t>Changkhol Sathek Jagoi</t>
  </si>
  <si>
    <t>The Kanglei Mashek Mangal Cultural Organisation</t>
  </si>
  <si>
    <t>The Welfare Organisation of Langol Ningthou Leikai</t>
  </si>
  <si>
    <t>Social Affairs for Voluntary Empowerement</t>
  </si>
  <si>
    <t>Manaba Khongthang</t>
  </si>
  <si>
    <t>Cultural Guild Imphal</t>
  </si>
  <si>
    <t>Progressive Artiste Laboratory</t>
  </si>
  <si>
    <t>Star Repertory</t>
  </si>
  <si>
    <t>Pakhangba Cultural Foundation (PCF)</t>
  </si>
  <si>
    <t>Tribal Art and Culture Development Organisation</t>
  </si>
  <si>
    <t>Women and Child Care Mission</t>
  </si>
  <si>
    <t>The Kuki Custom Culture and Tradition Research Institute</t>
  </si>
  <si>
    <t>Kongpal Nupee Eshei Marup</t>
  </si>
  <si>
    <t>Womens Society for Cultural Heritage</t>
  </si>
  <si>
    <t>North East Artisans Forum</t>
  </si>
  <si>
    <t>Performing Artiste Centre</t>
  </si>
  <si>
    <t>Sheidamkol</t>
  </si>
  <si>
    <t>The Nata Sangeet Academy and Research Centre</t>
  </si>
  <si>
    <t>Haobam Nisheshwor Singh</t>
  </si>
  <si>
    <t>Manipur Apex Handloom Weavers &amp; handicrafts Artsisans Co-operative Society Ltd, Imphal</t>
  </si>
  <si>
    <t xml:space="preserve">              </t>
  </si>
  <si>
    <t>National Action Plan for Senior Citizens</t>
  </si>
  <si>
    <t>All Manipur Senior Citizens Welfare Association</t>
  </si>
  <si>
    <t>Community Development Association</t>
  </si>
  <si>
    <t>Centre of Rural Upliftment Service(CRUS)</t>
  </si>
  <si>
    <t>Rural Downtrodden People Upliftment Society</t>
  </si>
  <si>
    <t>United Hill Peoples Development Society</t>
  </si>
  <si>
    <t>Central Sector Scheme - Concld.</t>
  </si>
  <si>
    <t>Shri Shri Patita Pawana Natya Mandir</t>
  </si>
  <si>
    <t>The Linthoingambi Art and Cultural Development Organisation</t>
  </si>
  <si>
    <t>Deputy commissioner Kangpokpi MDM</t>
  </si>
  <si>
    <t>Research Training and Studies and Other Road Safety Schemes</t>
  </si>
  <si>
    <t>TOTAL B</t>
  </si>
  <si>
    <t>TOTAL A</t>
  </si>
  <si>
    <t>GRAND TOTAL</t>
  </si>
  <si>
    <t>Society for Empowerment of the Disabled</t>
  </si>
  <si>
    <t>2022-23</t>
  </si>
  <si>
    <t>Wangoo-GP</t>
  </si>
  <si>
    <t>Khundrakpam-GP</t>
  </si>
  <si>
    <t>Angtha-GP</t>
  </si>
  <si>
    <t>Heingang-GP</t>
  </si>
  <si>
    <t>Zila Kakching Zila Parishad</t>
  </si>
  <si>
    <t>Rashtriya Gram Swaraj Abhiyan (RGSA)</t>
  </si>
  <si>
    <t>Directorate of Rural Development and Panchayati Raj, Government of Manipur</t>
  </si>
  <si>
    <t>Ayushman Bharat-Pradhan Mantri Jan Arogya</t>
  </si>
  <si>
    <t>State Health Agency Manipur</t>
  </si>
  <si>
    <t>The Bishnupur District Rural Social Welfare Society</t>
  </si>
  <si>
    <t>Edible Oil -oil Palm (Krishionnati Yojna)</t>
  </si>
  <si>
    <t>Central Agriculture University</t>
  </si>
  <si>
    <t>Department of Agriculture, Manipur</t>
  </si>
  <si>
    <t>National Institure of Technology</t>
  </si>
  <si>
    <t>Scheme of Human Resource Development in Sports</t>
  </si>
  <si>
    <t>M/S National Sports University Society</t>
  </si>
  <si>
    <t>Centenaries and Anniversaries, Celebrations and Schemes</t>
  </si>
  <si>
    <t>Arts and Culture Department, Manipur</t>
  </si>
  <si>
    <t>Mangailak Development Mission Society</t>
  </si>
  <si>
    <t>Women and Child Care Mision</t>
  </si>
  <si>
    <t>Lalit Kala Sangam</t>
  </si>
  <si>
    <t>Langmeidong Dramatic Union</t>
  </si>
  <si>
    <t>The Thoubal District Art Development Association</t>
  </si>
  <si>
    <t>Royal Artiste Academy for Cultural Heritage</t>
  </si>
  <si>
    <t>Womens Arts and Cultural Association (WACA)</t>
  </si>
  <si>
    <t>Ima Panthoibi Huyel Langlon Thang Ta and Cultural Association</t>
  </si>
  <si>
    <t>Research Centre for Traditional Folk Music</t>
  </si>
  <si>
    <t>Integrated Cultural Association</t>
  </si>
  <si>
    <t>Kanglei Nat Cultural Organisation</t>
  </si>
  <si>
    <t>Seikon</t>
  </si>
  <si>
    <t>Ibudhou Marjinig Performing Arts Centre</t>
  </si>
  <si>
    <t>Imphal Cultural Academy</t>
  </si>
  <si>
    <t>Khangjeng Repertory Theatre</t>
  </si>
  <si>
    <t>Leimarolsinggi Seishakkol</t>
  </si>
  <si>
    <t>Nongthangleima Institute of Art &amp; Culture</t>
  </si>
  <si>
    <t>Meipak Memorial Kala Sangam</t>
  </si>
  <si>
    <t>Integrated Arts &amp; Culture Society</t>
  </si>
  <si>
    <t>Athokpam Khunou Art &amp; Culture Academy Athokpam Khunou</t>
  </si>
  <si>
    <t>Academy of Performing Arts</t>
  </si>
  <si>
    <t>Dhrubatara Chaokhat Sindam Shang</t>
  </si>
  <si>
    <t>Yenning Performing Arts Centre, Manipur</t>
  </si>
  <si>
    <t>Anoy Shindam Shanglen</t>
  </si>
  <si>
    <t>Gourahari Leirik Goura Krishna Mandon Leela Association</t>
  </si>
  <si>
    <t>Hensana Cultural Centre</t>
  </si>
  <si>
    <t xml:space="preserve">Institute of Musical and Cultural Arts </t>
  </si>
  <si>
    <t>Peace Maker Artistes' Association Manipur</t>
  </si>
  <si>
    <t>Kangleipak Royal Thang Ta Association</t>
  </si>
  <si>
    <t>Repose Foundation</t>
  </si>
  <si>
    <t>The Traditional Folk &amp; Cultural Research Centre</t>
  </si>
  <si>
    <t>Yangam Leirak Nupi Leela</t>
  </si>
  <si>
    <t>The Thakurdhon Nritya Kala Mandir</t>
  </si>
  <si>
    <t>Blooming Cultural Academy of Performing Arts</t>
  </si>
  <si>
    <t>Sanchaali a Centre for Performing Art</t>
  </si>
  <si>
    <t>North East Cultural Forum</t>
  </si>
  <si>
    <t>Sangeet Academy</t>
  </si>
  <si>
    <t>Goodwill Christian High School Imphal East</t>
  </si>
  <si>
    <t>Jawahar Novadaya Vidyalaya, Imphal East</t>
  </si>
  <si>
    <t>Mount Olivet High School, Senapati</t>
  </si>
  <si>
    <t>Thounaojam Ibobi Memorial English School, Uchiwa</t>
  </si>
  <si>
    <t>GNM Training School, Thoubal</t>
  </si>
  <si>
    <t>Grants to Other Institutions</t>
  </si>
  <si>
    <t>National Digital Health Mission</t>
  </si>
  <si>
    <t>ABDM State Health Society NHM</t>
  </si>
  <si>
    <t>The Royal Academy of Law, Oinam</t>
  </si>
  <si>
    <t>National Handicrafts Development Programme (NHDP)</t>
  </si>
  <si>
    <t>Blood Transfusion Services</t>
  </si>
  <si>
    <t>Regional Institute of Medical Sciences (RIMS), Imphal</t>
  </si>
  <si>
    <t>The Cultural Research &amp; Training Centre (CRTC)</t>
  </si>
  <si>
    <t>Pradhan Mantri Ayushman Bharat Health Infrastructure Mission (PM-ABHIM) (Health)</t>
  </si>
  <si>
    <t>Kangleipak Thang Ta Cultural Association</t>
  </si>
  <si>
    <t xml:space="preserve"> </t>
  </si>
  <si>
    <t>Central Sector Scheme Scheme</t>
  </si>
  <si>
    <t>Centrally Sponsored Scheme- Concld.</t>
  </si>
  <si>
    <t>Centrally Sponsored Scheme-Contd.</t>
  </si>
  <si>
    <t>The Centre of Mental Hygiene</t>
  </si>
  <si>
    <t>Bashikhong Chanura Sinlon Lup</t>
  </si>
  <si>
    <t>Luwangsangbam-GP</t>
  </si>
  <si>
    <t>Association for Paona Memorial Arts and Rural Development</t>
  </si>
  <si>
    <t>Shree Shree Govindaji Nat Sangkritan</t>
  </si>
  <si>
    <t>Chaitanya Institute of Sankirtana</t>
  </si>
  <si>
    <t>Appendix VI - Contd.</t>
  </si>
  <si>
    <t>Appendix VI - Concld.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</si>
</sst>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14009]#,##0;\-#,##0"/>
    <numFmt numFmtId="165" formatCode="#,##0_ ;\-#,##0\ "/>
    <numFmt numFmtId="166" formatCode="#,##0.00_ ;\-#,##0.00\ "/>
    <numFmt numFmtId="167" formatCode="0.00;[Red]0.00"/>
    <numFmt numFmtId="168" formatCode="#,##0.00;[Red]#,##0.00"/>
  </numFmts>
  <fonts count="9" x14ac:knownFonts="1">
    <font>
      <sz val="11"/>
      <color rgb="FF000000"/>
      <name val="Calibri"/>
      <family val="2"/>
      <scheme val="minor"/>
    </font>
    <font>
      <sz val="11"/>
      <name val="Calibri"/>
      <family val="2"/>
    </font>
    <font>
      <sz val="12"/>
      <name val="Times New Roman"/>
      <family val="1"/>
    </font>
    <font>
      <sz val="12"/>
      <color rgb="FF000000"/>
      <name val="Times New Roman"/>
      <family val="1"/>
    </font>
    <font>
      <b/>
      <sz val="12"/>
      <name val="Times New Roman"/>
      <family val="1"/>
    </font>
    <font>
      <b/>
      <sz val="11"/>
      <name val="Calibri"/>
      <family val="2"/>
    </font>
    <font>
      <sz val="11"/>
      <color rgb="FFFF0000"/>
      <name val="Calibri"/>
      <family val="2"/>
    </font>
    <font>
      <sz val="12"/>
      <color rgb="FFFF0000"/>
      <name val="Times New Roman"/>
      <family val="1"/>
    </font>
    <font>
      <sz val="12"/>
      <color theme="1"/>
      <name val="Times New Roman"/>
      <family val="1"/>
    </font>
  </fonts>
  <fills count="3">
    <fill>
      <patternFill patternType="none"/>
    </fill>
    <fill>
      <patternFill patternType="gray125"/>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1">
    <xf numFmtId="0" fontId="0" fillId="0" borderId="0"/>
  </cellStyleXfs>
  <cellXfs count="247">
    <xf numFmtId="0" fontId="1" fillId="0" borderId="0" xfId="0" applyFont="1"/>
    <xf numFmtId="0" fontId="5" fillId="0" borderId="0" xfId="0" applyFont="1"/>
    <xf numFmtId="0" fontId="2" fillId="0" borderId="1" xfId="0" applyFont="1" applyBorder="1"/>
    <xf numFmtId="4" fontId="2" fillId="0" borderId="1" xfId="0" applyNumberFormat="1" applyFont="1" applyBorder="1"/>
    <xf numFmtId="2" fontId="2" fillId="0" borderId="1" xfId="0" applyNumberFormat="1" applyFont="1" applyBorder="1"/>
    <xf numFmtId="4" fontId="2" fillId="0" borderId="1" xfId="0" applyNumberFormat="1" applyFont="1" applyBorder="1" applyAlignment="1">
      <alignment vertical="center"/>
    </xf>
    <xf numFmtId="2" fontId="2" fillId="0" borderId="1" xfId="0" applyNumberFormat="1" applyFont="1" applyBorder="1" applyAlignment="1">
      <alignment horizontal="right"/>
    </xf>
    <xf numFmtId="166" fontId="3" fillId="0" borderId="1" xfId="0" applyNumberFormat="1" applyFont="1" applyBorder="1" applyAlignment="1">
      <alignment horizontal="right" vertical="top" wrapText="1" readingOrder="1"/>
    </xf>
    <xf numFmtId="166" fontId="3" fillId="0" borderId="1" xfId="0" applyNumberFormat="1" applyFont="1" applyBorder="1" applyAlignment="1">
      <alignment horizontal="right" vertical="center" wrapText="1" readingOrder="1"/>
    </xf>
    <xf numFmtId="167" fontId="2" fillId="0" borderId="1" xfId="0" applyNumberFormat="1" applyFont="1" applyBorder="1"/>
    <xf numFmtId="167" fontId="2" fillId="0" borderId="1" xfId="0" applyNumberFormat="1" applyFont="1" applyBorder="1" applyAlignment="1">
      <alignment vertical="center"/>
    </xf>
    <xf numFmtId="2" fontId="2" fillId="0" borderId="1" xfId="0" applyNumberFormat="1" applyFont="1" applyBorder="1" applyAlignment="1">
      <alignment vertical="center"/>
    </xf>
    <xf numFmtId="4" fontId="2" fillId="0" borderId="1" xfId="0" applyNumberFormat="1" applyFont="1" applyBorder="1" applyAlignment="1">
      <alignment horizontal="right" vertical="center"/>
    </xf>
    <xf numFmtId="4" fontId="2" fillId="0" borderId="1" xfId="0" applyNumberFormat="1" applyFont="1" applyBorder="1" applyAlignment="1">
      <alignment vertical="center" readingOrder="1"/>
    </xf>
    <xf numFmtId="4" fontId="2" fillId="0" borderId="1" xfId="0" applyNumberFormat="1" applyFont="1" applyBorder="1" applyAlignment="1">
      <alignment horizontal="right" vertical="center" readingOrder="1"/>
    </xf>
    <xf numFmtId="2" fontId="2" fillId="0" borderId="1" xfId="0" applyNumberFormat="1" applyFont="1" applyBorder="1" applyAlignment="1">
      <alignment vertical="center" readingOrder="1"/>
    </xf>
    <xf numFmtId="0" fontId="2" fillId="0" borderId="1" xfId="0" applyFont="1" applyBorder="1" applyAlignment="1">
      <alignment vertical="center"/>
    </xf>
    <xf numFmtId="4" fontId="2" fillId="0" borderId="1" xfId="0" applyNumberFormat="1" applyFont="1" applyBorder="1" applyAlignment="1">
      <alignment horizontal="right"/>
    </xf>
    <xf numFmtId="2" fontId="2" fillId="0" borderId="12" xfId="0" applyNumberFormat="1" applyFont="1" applyBorder="1"/>
    <xf numFmtId="168" fontId="2" fillId="0" borderId="1" xfId="0" applyNumberFormat="1" applyFont="1" applyBorder="1" applyAlignment="1">
      <alignment horizontal="right"/>
    </xf>
    <xf numFmtId="4" fontId="1" fillId="0" borderId="0" xfId="0" applyNumberFormat="1" applyFont="1"/>
    <xf numFmtId="4" fontId="2" fillId="0" borderId="2" xfId="0" applyNumberFormat="1" applyFont="1" applyBorder="1"/>
    <xf numFmtId="2" fontId="2" fillId="2" borderId="1" xfId="0" applyNumberFormat="1" applyFont="1" applyFill="1" applyBorder="1"/>
    <xf numFmtId="4" fontId="1" fillId="2" borderId="0" xfId="0" applyNumberFormat="1" applyFont="1" applyFill="1"/>
    <xf numFmtId="167" fontId="1" fillId="2" borderId="0" xfId="0" applyNumberFormat="1" applyFont="1" applyFill="1"/>
    <xf numFmtId="4" fontId="2" fillId="0" borderId="2" xfId="0" applyNumberFormat="1" applyFont="1" applyBorder="1" applyAlignment="1">
      <alignment vertical="center"/>
    </xf>
    <xf numFmtId="2" fontId="1" fillId="2" borderId="0" xfId="0" applyNumberFormat="1" applyFont="1" applyFill="1"/>
    <xf numFmtId="166" fontId="1" fillId="0" borderId="0" xfId="0" applyNumberFormat="1" applyFont="1"/>
    <xf numFmtId="2" fontId="2" fillId="0" borderId="2" xfId="0" applyNumberFormat="1" applyFont="1" applyBorder="1"/>
    <xf numFmtId="2" fontId="2" fillId="0" borderId="2" xfId="0" applyNumberFormat="1" applyFont="1" applyBorder="1" applyAlignment="1">
      <alignment vertical="center"/>
    </xf>
    <xf numFmtId="0" fontId="7" fillId="0" borderId="1" xfId="0" applyFont="1" applyBorder="1" applyAlignment="1">
      <alignment vertical="center"/>
    </xf>
    <xf numFmtId="0" fontId="1" fillId="2" borderId="0" xfId="0" applyFont="1" applyFill="1"/>
    <xf numFmtId="4" fontId="5" fillId="2" borderId="0" xfId="0" applyNumberFormat="1" applyFont="1" applyFill="1"/>
    <xf numFmtId="0" fontId="5" fillId="0" borderId="1" xfId="0" applyFont="1" applyBorder="1"/>
    <xf numFmtId="4" fontId="5" fillId="2" borderId="1" xfId="0" applyNumberFormat="1" applyFont="1" applyFill="1" applyBorder="1"/>
    <xf numFmtId="166" fontId="1" fillId="2" borderId="0" xfId="0" applyNumberFormat="1" applyFont="1" applyFill="1"/>
    <xf numFmtId="166" fontId="5" fillId="2" borderId="1" xfId="0" applyNumberFormat="1" applyFont="1" applyFill="1" applyBorder="1"/>
    <xf numFmtId="2" fontId="3" fillId="0" borderId="1" xfId="0" applyNumberFormat="1" applyFont="1" applyFill="1" applyBorder="1" applyAlignment="1">
      <alignment horizontal="right" vertical="center" wrapText="1" readingOrder="1"/>
    </xf>
    <xf numFmtId="2" fontId="2" fillId="0" borderId="1" xfId="0" applyNumberFormat="1" applyFont="1" applyFill="1" applyBorder="1" applyAlignment="1">
      <alignment vertical="top" wrapText="1"/>
    </xf>
    <xf numFmtId="2" fontId="1" fillId="0" borderId="0" xfId="0" applyNumberFormat="1" applyFont="1" applyFill="1"/>
    <xf numFmtId="4" fontId="4" fillId="0" borderId="1" xfId="0" applyNumberFormat="1" applyFont="1" applyFill="1" applyBorder="1" applyAlignment="1">
      <alignment horizontal="right" vertical="center"/>
    </xf>
    <xf numFmtId="4" fontId="4" fillId="0" borderId="1" xfId="0" applyNumberFormat="1" applyFont="1" applyFill="1" applyBorder="1" applyAlignment="1">
      <alignment vertical="center"/>
    </xf>
    <xf numFmtId="0" fontId="4" fillId="0" borderId="0" xfId="0" applyFont="1" applyFill="1"/>
    <xf numFmtId="0" fontId="1" fillId="0" borderId="0" xfId="0" applyFont="1" applyFill="1"/>
    <xf numFmtId="0" fontId="2" fillId="0" borderId="0" xfId="0" applyFont="1" applyFill="1"/>
    <xf numFmtId="0" fontId="4" fillId="0" borderId="1" xfId="0" applyFont="1" applyFill="1" applyBorder="1" applyAlignment="1">
      <alignment horizontal="right"/>
    </xf>
    <xf numFmtId="0" fontId="4" fillId="0" borderId="0" xfId="0" applyFont="1" applyFill="1" applyAlignment="1">
      <alignment horizontal="right"/>
    </xf>
    <xf numFmtId="4" fontId="3" fillId="0" borderId="1" xfId="0" applyNumberFormat="1" applyFont="1" applyFill="1" applyBorder="1" applyAlignment="1">
      <alignment horizontal="right" vertical="top" wrapText="1" readingOrder="1"/>
    </xf>
    <xf numFmtId="4" fontId="2" fillId="0" borderId="1" xfId="0" applyNumberFormat="1" applyFont="1" applyFill="1" applyBorder="1"/>
    <xf numFmtId="4" fontId="2" fillId="0" borderId="0" xfId="0" applyNumberFormat="1" applyFont="1" applyFill="1"/>
    <xf numFmtId="2" fontId="3" fillId="0" borderId="1" xfId="0" applyNumberFormat="1" applyFont="1" applyFill="1" applyBorder="1" applyAlignment="1">
      <alignment horizontal="right" vertical="top" wrapText="1" readingOrder="1"/>
    </xf>
    <xf numFmtId="2" fontId="2" fillId="0" borderId="1" xfId="0" applyNumberFormat="1" applyFont="1" applyFill="1" applyBorder="1"/>
    <xf numFmtId="164" fontId="1" fillId="0" borderId="0" xfId="0" applyNumberFormat="1" applyFont="1" applyFill="1"/>
    <xf numFmtId="0" fontId="2" fillId="0" borderId="1" xfId="0" applyFont="1" applyFill="1" applyBorder="1" applyAlignment="1">
      <alignment horizontal="right" vertical="center" wrapText="1"/>
    </xf>
    <xf numFmtId="4" fontId="2" fillId="0" borderId="1" xfId="0" applyNumberFormat="1" applyFont="1" applyFill="1" applyBorder="1" applyAlignment="1">
      <alignment vertical="center" readingOrder="1"/>
    </xf>
    <xf numFmtId="4" fontId="2" fillId="0" borderId="0" xfId="0" applyNumberFormat="1" applyFont="1" applyFill="1" applyAlignment="1">
      <alignment vertical="center" readingOrder="1"/>
    </xf>
    <xf numFmtId="4" fontId="1" fillId="0" borderId="0" xfId="0" applyNumberFormat="1" applyFont="1" applyFill="1" applyAlignment="1">
      <alignment vertical="center"/>
    </xf>
    <xf numFmtId="2" fontId="2" fillId="0" borderId="1" xfId="0" applyNumberFormat="1" applyFont="1" applyFill="1" applyBorder="1" applyAlignment="1">
      <alignment vertical="center" wrapText="1"/>
    </xf>
    <xf numFmtId="4" fontId="1" fillId="0" borderId="0" xfId="0" applyNumberFormat="1" applyFont="1" applyFill="1"/>
    <xf numFmtId="4" fontId="2" fillId="0" borderId="1" xfId="0" applyNumberFormat="1" applyFont="1" applyFill="1" applyBorder="1" applyAlignment="1">
      <alignment vertical="center" wrapText="1"/>
    </xf>
    <xf numFmtId="4" fontId="2" fillId="0" borderId="1" xfId="0" applyNumberFormat="1" applyFont="1" applyFill="1" applyBorder="1" applyAlignment="1">
      <alignment vertical="center"/>
    </xf>
    <xf numFmtId="4" fontId="2" fillId="0" borderId="0" xfId="0" applyNumberFormat="1" applyFont="1" applyFill="1" applyAlignment="1">
      <alignment vertical="center"/>
    </xf>
    <xf numFmtId="0" fontId="3" fillId="0" borderId="1" xfId="0" applyFont="1" applyFill="1" applyBorder="1" applyAlignment="1">
      <alignment horizontal="right" vertical="top" wrapText="1" readingOrder="1"/>
    </xf>
    <xf numFmtId="0" fontId="2" fillId="0" borderId="1" xfId="0" applyFont="1" applyFill="1" applyBorder="1"/>
    <xf numFmtId="2" fontId="2" fillId="0" borderId="0" xfId="0" applyNumberFormat="1" applyFont="1" applyFill="1"/>
    <xf numFmtId="0" fontId="2" fillId="0" borderId="1" xfId="0" applyFont="1" applyFill="1" applyBorder="1" applyAlignment="1">
      <alignment vertical="center"/>
    </xf>
    <xf numFmtId="2" fontId="2" fillId="0" borderId="0" xfId="0" applyNumberFormat="1" applyFont="1" applyFill="1" applyAlignment="1">
      <alignment vertical="center"/>
    </xf>
    <xf numFmtId="2" fontId="3" fillId="0" borderId="3" xfId="0" applyNumberFormat="1" applyFont="1" applyFill="1" applyBorder="1" applyAlignment="1">
      <alignment horizontal="right" vertical="top" wrapText="1" readingOrder="1"/>
    </xf>
    <xf numFmtId="0" fontId="3" fillId="0" borderId="0" xfId="0" applyFont="1" applyFill="1" applyBorder="1" applyAlignment="1">
      <alignment horizontal="left" vertical="center" wrapText="1" readingOrder="1"/>
    </xf>
    <xf numFmtId="0" fontId="3" fillId="0" borderId="0" xfId="0" applyFont="1" applyFill="1" applyBorder="1" applyAlignment="1">
      <alignment horizontal="left" vertical="top" wrapText="1" readingOrder="1"/>
    </xf>
    <xf numFmtId="0" fontId="2" fillId="0" borderId="0" xfId="0" applyFont="1" applyFill="1" applyBorder="1" applyAlignment="1">
      <alignment vertical="top" wrapText="1"/>
    </xf>
    <xf numFmtId="4" fontId="3" fillId="0" borderId="0" xfId="0" applyNumberFormat="1" applyFont="1" applyFill="1" applyBorder="1" applyAlignment="1">
      <alignment horizontal="right" vertical="top" wrapText="1" readingOrder="1"/>
    </xf>
    <xf numFmtId="2" fontId="2" fillId="0" borderId="0" xfId="0" applyNumberFormat="1" applyFont="1" applyFill="1" applyBorder="1"/>
    <xf numFmtId="0" fontId="2" fillId="0" borderId="1" xfId="0" applyFont="1" applyFill="1" applyBorder="1" applyAlignment="1">
      <alignment horizontal="right" vertical="top" wrapText="1"/>
    </xf>
    <xf numFmtId="4" fontId="2" fillId="0" borderId="0" xfId="0" applyNumberFormat="1" applyFont="1" applyFill="1" applyBorder="1"/>
    <xf numFmtId="166" fontId="1" fillId="0" borderId="0" xfId="0" applyNumberFormat="1" applyFont="1" applyFill="1"/>
    <xf numFmtId="4" fontId="2" fillId="0" borderId="1" xfId="0" applyNumberFormat="1" applyFont="1" applyFill="1" applyBorder="1" applyAlignment="1">
      <alignment vertical="top" wrapText="1"/>
    </xf>
    <xf numFmtId="0" fontId="3" fillId="0" borderId="4" xfId="0" applyFont="1" applyFill="1" applyBorder="1" applyAlignment="1">
      <alignment vertical="center" wrapText="1" readingOrder="1"/>
    </xf>
    <xf numFmtId="0" fontId="3" fillId="0" borderId="5" xfId="0" applyFont="1" applyFill="1" applyBorder="1" applyAlignment="1">
      <alignment vertical="center" wrapText="1" readingOrder="1"/>
    </xf>
    <xf numFmtId="2" fontId="3" fillId="0" borderId="3" xfId="0" applyNumberFormat="1" applyFont="1" applyFill="1" applyBorder="1" applyAlignment="1">
      <alignment horizontal="right" vertical="center" wrapText="1" readingOrder="1"/>
    </xf>
    <xf numFmtId="0" fontId="3" fillId="0" borderId="6" xfId="0" applyFont="1" applyFill="1" applyBorder="1" applyAlignment="1">
      <alignment vertical="center" wrapText="1" readingOrder="1"/>
    </xf>
    <xf numFmtId="0" fontId="3" fillId="0" borderId="7" xfId="0" applyFont="1" applyFill="1" applyBorder="1" applyAlignment="1">
      <alignment vertical="center" wrapText="1" readingOrder="1"/>
    </xf>
    <xf numFmtId="2" fontId="2" fillId="0" borderId="3" xfId="0" applyNumberFormat="1" applyFont="1" applyFill="1" applyBorder="1" applyAlignment="1">
      <alignment vertical="top" wrapText="1"/>
    </xf>
    <xf numFmtId="166" fontId="3" fillId="0" borderId="1" xfId="0" applyNumberFormat="1" applyFont="1" applyFill="1" applyBorder="1" applyAlignment="1">
      <alignment horizontal="right" vertical="top" wrapText="1" readingOrder="1"/>
    </xf>
    <xf numFmtId="4" fontId="3" fillId="0" borderId="1" xfId="0" applyNumberFormat="1" applyFont="1" applyFill="1" applyBorder="1" applyAlignment="1">
      <alignment vertical="center" wrapText="1" readingOrder="1"/>
    </xf>
    <xf numFmtId="4" fontId="2" fillId="0" borderId="1" xfId="0" applyNumberFormat="1" applyFont="1" applyFill="1" applyBorder="1" applyAlignment="1">
      <alignment vertical="top"/>
    </xf>
    <xf numFmtId="4" fontId="4" fillId="0" borderId="0" xfId="0" applyNumberFormat="1" applyFont="1" applyFill="1" applyAlignment="1">
      <alignment vertical="center"/>
    </xf>
    <xf numFmtId="2" fontId="1" fillId="0" borderId="0" xfId="0" applyNumberFormat="1" applyFont="1" applyFill="1" applyAlignment="1">
      <alignment vertical="center"/>
    </xf>
    <xf numFmtId="4" fontId="4" fillId="0" borderId="0" xfId="0" applyNumberFormat="1" applyFont="1" applyFill="1"/>
    <xf numFmtId="4" fontId="6" fillId="0" borderId="0" xfId="0" applyNumberFormat="1" applyFont="1" applyFill="1"/>
    <xf numFmtId="168" fontId="2" fillId="0" borderId="1" xfId="0" applyNumberFormat="1" applyFont="1" applyFill="1" applyBorder="1" applyAlignment="1">
      <alignment horizontal="right"/>
    </xf>
    <xf numFmtId="2" fontId="2" fillId="0" borderId="0" xfId="0" applyNumberFormat="1" applyFont="1" applyFill="1" applyAlignment="1">
      <alignment horizontal="right"/>
    </xf>
    <xf numFmtId="2" fontId="2" fillId="0" borderId="1" xfId="0" applyNumberFormat="1" applyFont="1" applyFill="1" applyBorder="1" applyAlignment="1">
      <alignment horizontal="right"/>
    </xf>
    <xf numFmtId="166" fontId="3" fillId="0" borderId="1" xfId="0" applyNumberFormat="1" applyFont="1" applyFill="1" applyBorder="1" applyAlignment="1">
      <alignment horizontal="right" vertical="center" wrapText="1" readingOrder="1"/>
    </xf>
    <xf numFmtId="0" fontId="3" fillId="0" borderId="3" xfId="0" applyFont="1" applyFill="1" applyBorder="1" applyAlignment="1">
      <alignment horizontal="right" vertical="top" wrapText="1" readingOrder="1"/>
    </xf>
    <xf numFmtId="0" fontId="6" fillId="0" borderId="0" xfId="0" applyFont="1" applyFill="1"/>
    <xf numFmtId="167" fontId="2" fillId="0" borderId="1" xfId="0" applyNumberFormat="1" applyFont="1" applyFill="1" applyBorder="1" applyAlignment="1">
      <alignment vertical="center"/>
    </xf>
    <xf numFmtId="167" fontId="2" fillId="0" borderId="0" xfId="0" applyNumberFormat="1" applyFont="1" applyFill="1" applyAlignment="1">
      <alignment vertical="center"/>
    </xf>
    <xf numFmtId="2" fontId="2" fillId="0" borderId="3" xfId="0" applyNumberFormat="1" applyFont="1" applyFill="1" applyBorder="1" applyAlignment="1">
      <alignment vertical="center" wrapText="1"/>
    </xf>
    <xf numFmtId="0" fontId="3" fillId="0" borderId="3" xfId="0" applyFont="1" applyFill="1" applyBorder="1" applyAlignment="1">
      <alignment horizontal="right" vertical="center" wrapText="1" readingOrder="1"/>
    </xf>
    <xf numFmtId="0" fontId="3" fillId="0" borderId="0" xfId="0" applyFont="1" applyFill="1" applyBorder="1" applyAlignment="1">
      <alignment horizontal="right" vertical="center" wrapText="1" readingOrder="1"/>
    </xf>
    <xf numFmtId="4" fontId="3" fillId="0" borderId="0" xfId="0" applyNumberFormat="1" applyFont="1" applyFill="1" applyBorder="1" applyAlignment="1">
      <alignment horizontal="right" vertical="center" wrapText="1" readingOrder="1"/>
    </xf>
    <xf numFmtId="4" fontId="2" fillId="0" borderId="0" xfId="0" applyNumberFormat="1" applyFont="1" applyFill="1" applyBorder="1" applyAlignment="1">
      <alignment vertical="center"/>
    </xf>
    <xf numFmtId="2" fontId="3" fillId="0" borderId="3" xfId="0" applyNumberFormat="1" applyFont="1" applyFill="1" applyBorder="1" applyAlignment="1">
      <alignment horizontal="right" vertical="center" readingOrder="1"/>
    </xf>
    <xf numFmtId="167" fontId="2" fillId="0" borderId="0" xfId="0" applyNumberFormat="1" applyFont="1" applyFill="1"/>
    <xf numFmtId="167" fontId="2" fillId="0" borderId="1" xfId="0" applyNumberFormat="1" applyFont="1" applyFill="1" applyBorder="1"/>
    <xf numFmtId="0" fontId="3" fillId="0" borderId="0" xfId="0" applyFont="1" applyFill="1" applyBorder="1" applyAlignment="1">
      <alignment vertical="top" wrapText="1" readingOrder="1"/>
    </xf>
    <xf numFmtId="0" fontId="2" fillId="0" borderId="0" xfId="0" applyFont="1" applyFill="1" applyBorder="1" applyAlignment="1">
      <alignment vertical="center" wrapText="1"/>
    </xf>
    <xf numFmtId="2" fontId="2" fillId="0" borderId="0" xfId="0" applyNumberFormat="1" applyFont="1" applyFill="1" applyBorder="1" applyAlignment="1">
      <alignment vertical="center" wrapText="1"/>
    </xf>
    <xf numFmtId="167" fontId="2" fillId="0" borderId="0" xfId="0" applyNumberFormat="1" applyFont="1" applyFill="1" applyBorder="1" applyAlignment="1">
      <alignment vertical="center"/>
    </xf>
    <xf numFmtId="167" fontId="1" fillId="0" borderId="0" xfId="0" applyNumberFormat="1" applyFont="1" applyFill="1" applyAlignment="1">
      <alignment vertical="center"/>
    </xf>
    <xf numFmtId="167" fontId="1" fillId="0" borderId="0" xfId="0" applyNumberFormat="1" applyFont="1" applyFill="1"/>
    <xf numFmtId="0" fontId="3" fillId="0" borderId="0" xfId="0" applyFont="1" applyFill="1" applyAlignment="1">
      <alignment horizontal="left" vertical="center" wrapText="1" readingOrder="1"/>
    </xf>
    <xf numFmtId="0" fontId="3" fillId="0" borderId="0" xfId="0" applyFont="1" applyFill="1" applyAlignment="1">
      <alignment horizontal="left" vertical="top" wrapText="1" readingOrder="1"/>
    </xf>
    <xf numFmtId="0" fontId="2" fillId="0" borderId="0" xfId="0" applyFont="1" applyFill="1" applyAlignment="1">
      <alignment vertical="top" wrapText="1"/>
    </xf>
    <xf numFmtId="2" fontId="3" fillId="0" borderId="0" xfId="0" applyNumberFormat="1" applyFont="1" applyFill="1" applyAlignment="1">
      <alignment horizontal="right" vertical="top" wrapText="1" readingOrder="1"/>
    </xf>
    <xf numFmtId="166" fontId="3" fillId="0" borderId="0" xfId="0" applyNumberFormat="1" applyFont="1" applyFill="1" applyAlignment="1">
      <alignment horizontal="right" vertical="top" wrapText="1" readingOrder="1"/>
    </xf>
    <xf numFmtId="2" fontId="2" fillId="0" borderId="1" xfId="0" applyNumberFormat="1" applyFont="1" applyFill="1" applyBorder="1" applyAlignment="1">
      <alignment vertical="center"/>
    </xf>
    <xf numFmtId="166" fontId="1" fillId="0" borderId="0" xfId="0" applyNumberFormat="1" applyFont="1" applyFill="1" applyAlignment="1">
      <alignment vertical="center"/>
    </xf>
    <xf numFmtId="0" fontId="3" fillId="0" borderId="1" xfId="0" applyFont="1" applyFill="1" applyBorder="1" applyAlignment="1">
      <alignment horizontal="right" vertical="center" wrapText="1" readingOrder="1"/>
    </xf>
    <xf numFmtId="2" fontId="2" fillId="0" borderId="1" xfId="0" applyNumberFormat="1" applyFont="1" applyFill="1" applyBorder="1" applyAlignment="1">
      <alignment vertical="top"/>
    </xf>
    <xf numFmtId="2" fontId="2" fillId="0" borderId="1" xfId="0" applyNumberFormat="1" applyFont="1" applyFill="1" applyBorder="1" applyAlignment="1">
      <alignment horizontal="right" vertical="top" wrapText="1"/>
    </xf>
    <xf numFmtId="2" fontId="2" fillId="0" borderId="1" xfId="0" applyNumberFormat="1" applyFont="1" applyFill="1" applyBorder="1" applyAlignment="1">
      <alignment horizontal="right" vertical="center"/>
    </xf>
    <xf numFmtId="4" fontId="2" fillId="0" borderId="1" xfId="0" applyNumberFormat="1" applyFont="1" applyFill="1" applyBorder="1" applyAlignment="1">
      <alignment horizontal="right" vertical="center"/>
    </xf>
    <xf numFmtId="4" fontId="2" fillId="0" borderId="1" xfId="0" applyNumberFormat="1" applyFont="1" applyFill="1" applyBorder="1" applyAlignment="1">
      <alignment horizontal="right"/>
    </xf>
    <xf numFmtId="2" fontId="2" fillId="0" borderId="0" xfId="0" applyNumberFormat="1" applyFont="1" applyFill="1" applyAlignment="1">
      <alignment horizontal="right" vertical="center"/>
    </xf>
    <xf numFmtId="2" fontId="2" fillId="0" borderId="0" xfId="0" applyNumberFormat="1" applyFont="1" applyFill="1" applyAlignment="1">
      <alignment horizontal="center" vertical="center"/>
    </xf>
    <xf numFmtId="2" fontId="2" fillId="0" borderId="0" xfId="0" applyNumberFormat="1" applyFont="1" applyFill="1" applyAlignment="1">
      <alignment horizontal="center"/>
    </xf>
    <xf numFmtId="2" fontId="2" fillId="0" borderId="2" xfId="0" applyNumberFormat="1" applyFont="1" applyFill="1" applyBorder="1" applyAlignment="1">
      <alignment horizontal="right"/>
    </xf>
    <xf numFmtId="165" fontId="1" fillId="0" borderId="0" xfId="0" applyNumberFormat="1" applyFont="1" applyFill="1"/>
    <xf numFmtId="2" fontId="2" fillId="0" borderId="1" xfId="0" applyNumberFormat="1" applyFont="1" applyFill="1" applyBorder="1" applyAlignment="1">
      <alignment vertical="center" readingOrder="1"/>
    </xf>
    <xf numFmtId="2" fontId="2" fillId="0" borderId="0" xfId="0" applyNumberFormat="1" applyFont="1" applyFill="1" applyAlignment="1">
      <alignment vertical="center" readingOrder="1"/>
    </xf>
    <xf numFmtId="165" fontId="3" fillId="0" borderId="1" xfId="0" applyNumberFormat="1" applyFont="1" applyFill="1" applyBorder="1" applyAlignment="1">
      <alignment horizontal="right" vertical="center" wrapText="1" readingOrder="1"/>
    </xf>
    <xf numFmtId="0" fontId="2" fillId="0" borderId="4" xfId="0" applyFont="1" applyFill="1" applyBorder="1" applyAlignment="1">
      <alignment vertical="center"/>
    </xf>
    <xf numFmtId="0" fontId="2" fillId="0" borderId="5" xfId="0" applyFont="1" applyFill="1" applyBorder="1" applyAlignment="1">
      <alignment vertical="center"/>
    </xf>
    <xf numFmtId="2" fontId="2" fillId="0" borderId="3" xfId="0" applyNumberFormat="1" applyFont="1" applyFill="1" applyBorder="1" applyAlignment="1">
      <alignment horizontal="right"/>
    </xf>
    <xf numFmtId="0" fontId="2" fillId="0" borderId="6" xfId="0" applyFont="1" applyFill="1" applyBorder="1" applyAlignment="1">
      <alignment vertical="center"/>
    </xf>
    <xf numFmtId="0" fontId="2" fillId="0" borderId="7" xfId="0" applyFont="1" applyFill="1" applyBorder="1" applyAlignment="1">
      <alignment vertical="center"/>
    </xf>
    <xf numFmtId="2" fontId="4" fillId="0" borderId="0" xfId="0" applyNumberFormat="1" applyFont="1" applyFill="1" applyAlignment="1">
      <alignment horizontal="center"/>
    </xf>
    <xf numFmtId="4" fontId="2" fillId="0" borderId="0" xfId="0" applyNumberFormat="1" applyFont="1" applyFill="1" applyAlignment="1">
      <alignment horizontal="center"/>
    </xf>
    <xf numFmtId="2" fontId="1" fillId="0" borderId="0" xfId="0" applyNumberFormat="1" applyFont="1" applyFill="1" applyAlignment="1">
      <alignment horizontal="center" vertical="center"/>
    </xf>
    <xf numFmtId="2" fontId="2" fillId="0" borderId="1" xfId="0" applyNumberFormat="1" applyFont="1" applyFill="1" applyBorder="1" applyAlignment="1">
      <alignment horizontal="right" vertical="center" wrapText="1"/>
    </xf>
    <xf numFmtId="4" fontId="2" fillId="0" borderId="0" xfId="0" applyNumberFormat="1" applyFont="1" applyFill="1" applyAlignment="1">
      <alignment horizontal="right" vertical="center"/>
    </xf>
    <xf numFmtId="4" fontId="2" fillId="0" borderId="0" xfId="0" applyNumberFormat="1" applyFont="1" applyFill="1" applyAlignment="1">
      <alignment horizontal="center" vertical="center"/>
    </xf>
    <xf numFmtId="0" fontId="2" fillId="0" borderId="14" xfId="0" applyFont="1" applyFill="1" applyBorder="1" applyAlignment="1">
      <alignment horizontal="left" vertical="center" wrapText="1"/>
    </xf>
    <xf numFmtId="2" fontId="2" fillId="0" borderId="14" xfId="0" applyNumberFormat="1" applyFont="1" applyFill="1" applyBorder="1" applyAlignment="1">
      <alignment horizontal="right" vertical="center" wrapText="1"/>
    </xf>
    <xf numFmtId="4" fontId="2" fillId="0" borderId="14" xfId="0" applyNumberFormat="1" applyFont="1" applyFill="1" applyBorder="1" applyAlignment="1">
      <alignment horizontal="right" vertical="center"/>
    </xf>
    <xf numFmtId="4" fontId="2" fillId="0" borderId="1" xfId="0" applyNumberFormat="1" applyFont="1" applyFill="1" applyBorder="1" applyAlignment="1">
      <alignment horizontal="right" vertical="center" readingOrder="1"/>
    </xf>
    <xf numFmtId="4" fontId="2" fillId="0" borderId="0" xfId="0" applyNumberFormat="1" applyFont="1" applyFill="1" applyAlignment="1">
      <alignment horizontal="right" vertical="center" readingOrder="1"/>
    </xf>
    <xf numFmtId="166" fontId="3" fillId="0" borderId="0" xfId="0" applyNumberFormat="1" applyFont="1" applyFill="1" applyAlignment="1">
      <alignment horizontal="right" vertical="center" wrapText="1" readingOrder="1"/>
    </xf>
    <xf numFmtId="167" fontId="2" fillId="0" borderId="1" xfId="0" applyNumberFormat="1" applyFont="1" applyFill="1" applyBorder="1" applyAlignment="1">
      <alignment horizontal="right"/>
    </xf>
    <xf numFmtId="166" fontId="4" fillId="0" borderId="1" xfId="0" applyNumberFormat="1" applyFont="1" applyFill="1" applyBorder="1" applyAlignment="1">
      <alignment horizontal="right" vertical="center"/>
    </xf>
    <xf numFmtId="166" fontId="4" fillId="0" borderId="1" xfId="0" applyNumberFormat="1" applyFont="1" applyFill="1" applyBorder="1" applyAlignment="1">
      <alignment vertical="center"/>
    </xf>
    <xf numFmtId="4" fontId="1" fillId="0" borderId="1" xfId="0" applyNumberFormat="1" applyFont="1" applyFill="1" applyBorder="1"/>
    <xf numFmtId="166" fontId="4" fillId="0" borderId="1" xfId="0" applyNumberFormat="1" applyFont="1" applyFill="1" applyBorder="1" applyAlignment="1">
      <alignment horizontal="right"/>
    </xf>
    <xf numFmtId="166" fontId="4" fillId="0" borderId="1" xfId="0" applyNumberFormat="1" applyFont="1" applyFill="1" applyBorder="1"/>
    <xf numFmtId="0" fontId="1" fillId="0" borderId="0" xfId="0" applyFont="1" applyFill="1" applyAlignment="1">
      <alignment horizontal="center" vertical="center"/>
    </xf>
    <xf numFmtId="166" fontId="4" fillId="0" borderId="0" xfId="0" applyNumberFormat="1" applyFont="1" applyFill="1" applyAlignment="1">
      <alignment horizontal="right"/>
    </xf>
    <xf numFmtId="166" fontId="2" fillId="0" borderId="0" xfId="0" applyNumberFormat="1" applyFont="1" applyFill="1"/>
    <xf numFmtId="2" fontId="7" fillId="0" borderId="0" xfId="0" applyNumberFormat="1" applyFont="1" applyFill="1" applyAlignment="1">
      <alignment horizontal="right"/>
    </xf>
    <xf numFmtId="0" fontId="7" fillId="0" borderId="0" xfId="0" applyFont="1" applyFill="1"/>
    <xf numFmtId="2" fontId="6" fillId="0" borderId="0" xfId="0" applyNumberFormat="1" applyFont="1" applyFill="1"/>
    <xf numFmtId="2" fontId="5" fillId="0" borderId="0" xfId="0" applyNumberFormat="1" applyFont="1" applyFill="1"/>
    <xf numFmtId="0" fontId="5" fillId="0" borderId="0" xfId="0" applyFont="1" applyFill="1"/>
    <xf numFmtId="0" fontId="4" fillId="0" borderId="3" xfId="0" applyFont="1" applyFill="1" applyBorder="1" applyAlignment="1">
      <alignment horizontal="center"/>
    </xf>
    <xf numFmtId="0" fontId="4" fillId="0" borderId="1" xfId="0" applyFont="1" applyFill="1" applyBorder="1" applyAlignment="1">
      <alignment horizontal="center"/>
    </xf>
    <xf numFmtId="0" fontId="4" fillId="0" borderId="0" xfId="0" applyFont="1" applyFill="1" applyAlignment="1">
      <alignment horizontal="center"/>
    </xf>
    <xf numFmtId="0" fontId="2" fillId="0" borderId="1" xfId="0" applyFont="1" applyFill="1" applyBorder="1" applyAlignment="1">
      <alignment vertical="top" wrapText="1"/>
    </xf>
    <xf numFmtId="0" fontId="2" fillId="0" borderId="0" xfId="0" applyFont="1" applyFill="1" applyAlignment="1">
      <alignment horizontal="center"/>
    </xf>
    <xf numFmtId="0" fontId="2" fillId="0" borderId="3" xfId="0" applyFont="1" applyFill="1" applyBorder="1" applyAlignment="1">
      <alignment horizontal="right"/>
    </xf>
    <xf numFmtId="0" fontId="2" fillId="0" borderId="1" xfId="0" applyFont="1" applyFill="1" applyBorder="1" applyAlignment="1">
      <alignment vertical="center" wrapText="1"/>
    </xf>
    <xf numFmtId="0" fontId="2" fillId="0" borderId="3" xfId="0" applyFont="1" applyFill="1" applyBorder="1" applyAlignment="1">
      <alignment vertical="center" wrapText="1"/>
    </xf>
    <xf numFmtId="0" fontId="2" fillId="0" borderId="3" xfId="0" applyFont="1" applyFill="1" applyBorder="1" applyAlignment="1">
      <alignment vertical="center" wrapText="1" readingOrder="1"/>
    </xf>
    <xf numFmtId="0" fontId="2" fillId="0" borderId="0" xfId="0" applyFont="1" applyFill="1" applyAlignment="1">
      <alignment horizontal="right"/>
    </xf>
    <xf numFmtId="4" fontId="3" fillId="0" borderId="1" xfId="0" applyNumberFormat="1" applyFont="1" applyFill="1" applyBorder="1" applyAlignment="1">
      <alignment horizontal="right" vertical="center" wrapText="1" readingOrder="1"/>
    </xf>
    <xf numFmtId="0" fontId="3" fillId="0" borderId="1" xfId="0" applyFont="1" applyFill="1" applyBorder="1" applyAlignment="1">
      <alignment horizontal="left" vertical="center" wrapText="1" readingOrder="1"/>
    </xf>
    <xf numFmtId="0" fontId="4" fillId="0" borderId="6" xfId="0" applyFont="1" applyFill="1" applyBorder="1" applyAlignment="1">
      <alignment horizontal="center"/>
    </xf>
    <xf numFmtId="0" fontId="4" fillId="0" borderId="7" xfId="0" applyFont="1" applyFill="1" applyBorder="1" applyAlignment="1">
      <alignment horizontal="center"/>
    </xf>
    <xf numFmtId="0" fontId="4" fillId="0" borderId="10" xfId="0" applyFont="1" applyFill="1" applyBorder="1" applyAlignment="1">
      <alignment horizontal="center"/>
    </xf>
    <xf numFmtId="0" fontId="4" fillId="0" borderId="3" xfId="0" applyFont="1" applyFill="1" applyBorder="1" applyAlignment="1">
      <alignment horizontal="center"/>
    </xf>
    <xf numFmtId="0" fontId="2" fillId="0" borderId="2" xfId="0" applyFont="1" applyFill="1" applyBorder="1" applyAlignment="1">
      <alignment horizontal="center"/>
    </xf>
    <xf numFmtId="0" fontId="2" fillId="0" borderId="3" xfId="0" applyFont="1" applyFill="1" applyBorder="1" applyAlignment="1">
      <alignment horizontal="center"/>
    </xf>
    <xf numFmtId="0" fontId="3" fillId="0" borderId="2" xfId="0" applyFont="1" applyFill="1" applyBorder="1" applyAlignment="1">
      <alignment horizontal="left" vertical="top" wrapText="1" readingOrder="1"/>
    </xf>
    <xf numFmtId="0" fontId="3" fillId="0" borderId="3" xfId="0" applyFont="1" applyFill="1" applyBorder="1" applyAlignment="1">
      <alignment horizontal="left" vertical="top" wrapText="1" readingOrder="1"/>
    </xf>
    <xf numFmtId="0" fontId="4" fillId="0" borderId="11" xfId="0" applyFont="1" applyFill="1" applyBorder="1" applyAlignment="1">
      <alignment horizontal="center"/>
    </xf>
    <xf numFmtId="0" fontId="3" fillId="0" borderId="1" xfId="0" applyFont="1" applyFill="1" applyBorder="1" applyAlignment="1">
      <alignment horizontal="left" vertical="top" wrapText="1" readingOrder="1"/>
    </xf>
    <xf numFmtId="0" fontId="2" fillId="0" borderId="1" xfId="0" applyFont="1" applyFill="1" applyBorder="1" applyAlignment="1">
      <alignment vertical="top" wrapText="1"/>
    </xf>
    <xf numFmtId="0" fontId="4" fillId="0" borderId="0" xfId="0" applyFont="1" applyFill="1" applyAlignment="1">
      <alignment horizontal="center"/>
    </xf>
    <xf numFmtId="0" fontId="2" fillId="0" borderId="0" xfId="0" applyFont="1" applyFill="1" applyAlignment="1">
      <alignment horizontal="center"/>
    </xf>
    <xf numFmtId="0" fontId="4" fillId="0" borderId="2" xfId="0" applyFont="1" applyFill="1" applyBorder="1" applyAlignment="1">
      <alignment horizontal="center"/>
    </xf>
    <xf numFmtId="0" fontId="2" fillId="0" borderId="10" xfId="0" applyFont="1" applyFill="1" applyBorder="1" applyAlignment="1">
      <alignment horizontal="right"/>
    </xf>
    <xf numFmtId="0" fontId="2" fillId="0" borderId="3" xfId="0" applyFont="1" applyFill="1" applyBorder="1" applyAlignment="1">
      <alignment horizontal="right"/>
    </xf>
    <xf numFmtId="0" fontId="3" fillId="0" borderId="10" xfId="0" applyFont="1" applyFill="1" applyBorder="1" applyAlignment="1">
      <alignment horizontal="left" vertical="top" wrapText="1" readingOrder="1"/>
    </xf>
    <xf numFmtId="0" fontId="3" fillId="0" borderId="1" xfId="0" applyFont="1" applyFill="1" applyBorder="1" applyAlignment="1">
      <alignment horizontal="justify" vertical="top" wrapText="1" readingOrder="1"/>
    </xf>
    <xf numFmtId="0" fontId="2" fillId="0" borderId="1" xfId="0" applyFont="1" applyFill="1" applyBorder="1" applyAlignment="1">
      <alignment horizontal="justify" vertical="top" wrapText="1"/>
    </xf>
    <xf numFmtId="0" fontId="2" fillId="0" borderId="0" xfId="0" applyFont="1" applyFill="1" applyAlignment="1">
      <alignment horizontal="right"/>
    </xf>
    <xf numFmtId="0" fontId="3" fillId="0" borderId="1" xfId="0" applyFont="1" applyFill="1" applyBorder="1" applyAlignment="1">
      <alignment vertical="top" wrapText="1" readingOrder="1"/>
    </xf>
    <xf numFmtId="0" fontId="3" fillId="0" borderId="1" xfId="0" applyFont="1" applyFill="1" applyBorder="1" applyAlignment="1">
      <alignment horizontal="justify" vertical="center" wrapText="1" readingOrder="1"/>
    </xf>
    <xf numFmtId="0" fontId="2" fillId="0" borderId="1" xfId="0" applyFont="1" applyFill="1" applyBorder="1" applyAlignment="1">
      <alignment horizontal="justify" vertical="center" wrapText="1"/>
    </xf>
    <xf numFmtId="0" fontId="2" fillId="0" borderId="1" xfId="0" applyFont="1" applyFill="1" applyBorder="1" applyAlignment="1">
      <alignment horizontal="left"/>
    </xf>
    <xf numFmtId="0" fontId="3" fillId="0" borderId="4" xfId="0" applyFont="1" applyFill="1" applyBorder="1" applyAlignment="1">
      <alignment horizontal="left" vertical="center" wrapText="1" readingOrder="1"/>
    </xf>
    <xf numFmtId="0" fontId="3" fillId="0" borderId="5" xfId="0" applyFont="1" applyFill="1" applyBorder="1" applyAlignment="1">
      <alignment horizontal="left" vertical="center" wrapText="1" readingOrder="1"/>
    </xf>
    <xf numFmtId="0" fontId="3" fillId="0" borderId="6" xfId="0" applyFont="1" applyFill="1" applyBorder="1" applyAlignment="1">
      <alignment horizontal="left" vertical="center" wrapText="1" readingOrder="1"/>
    </xf>
    <xf numFmtId="0" fontId="3" fillId="0" borderId="7" xfId="0" applyFont="1" applyFill="1" applyBorder="1" applyAlignment="1">
      <alignment horizontal="left" vertical="center" wrapText="1" readingOrder="1"/>
    </xf>
    <xf numFmtId="0" fontId="2" fillId="0" borderId="2" xfId="0" applyFont="1" applyFill="1" applyBorder="1" applyAlignment="1">
      <alignment horizontal="left"/>
    </xf>
    <xf numFmtId="0" fontId="2" fillId="0" borderId="3" xfId="0" applyFont="1" applyFill="1" applyBorder="1" applyAlignment="1">
      <alignment horizontal="left"/>
    </xf>
    <xf numFmtId="0" fontId="3" fillId="0" borderId="3" xfId="0" applyFont="1" applyFill="1" applyBorder="1" applyAlignment="1">
      <alignment horizontal="justify" vertical="top" wrapText="1" readingOrder="1"/>
    </xf>
    <xf numFmtId="0" fontId="3" fillId="0" borderId="8" xfId="0" applyFont="1" applyFill="1" applyBorder="1" applyAlignment="1">
      <alignment horizontal="left" vertical="center" wrapText="1" readingOrder="1"/>
    </xf>
    <xf numFmtId="0" fontId="3" fillId="0" borderId="9" xfId="0" applyFont="1" applyFill="1" applyBorder="1" applyAlignment="1">
      <alignment horizontal="left" vertical="center" wrapText="1" readingOrder="1"/>
    </xf>
    <xf numFmtId="0" fontId="2" fillId="0" borderId="1" xfId="0" applyFont="1" applyFill="1" applyBorder="1" applyAlignment="1">
      <alignment horizontal="center"/>
    </xf>
    <xf numFmtId="0" fontId="4" fillId="0" borderId="1" xfId="0" applyFont="1" applyFill="1" applyBorder="1" applyAlignment="1">
      <alignment horizontal="center"/>
    </xf>
    <xf numFmtId="0" fontId="2" fillId="0" borderId="1" xfId="0" applyFont="1" applyFill="1" applyBorder="1" applyAlignment="1">
      <alignment vertical="center" wrapText="1"/>
    </xf>
    <xf numFmtId="0" fontId="3" fillId="0" borderId="1" xfId="0" applyFont="1" applyFill="1" applyBorder="1" applyAlignment="1">
      <alignment vertical="center" wrapText="1" readingOrder="1"/>
    </xf>
    <xf numFmtId="0" fontId="3" fillId="0" borderId="2" xfId="0" applyFont="1" applyFill="1" applyBorder="1" applyAlignment="1">
      <alignment horizontal="left" vertical="center" wrapText="1" readingOrder="1"/>
    </xf>
    <xf numFmtId="0" fontId="2" fillId="0" borderId="3" xfId="0" applyFont="1" applyFill="1" applyBorder="1" applyAlignment="1">
      <alignment vertical="center" wrapText="1"/>
    </xf>
    <xf numFmtId="2" fontId="3" fillId="0" borderId="1" xfId="0" applyNumberFormat="1" applyFont="1" applyFill="1" applyBorder="1" applyAlignment="1">
      <alignment horizontal="justify" vertical="top" wrapText="1" readingOrder="1"/>
    </xf>
    <xf numFmtId="2" fontId="2" fillId="0" borderId="1" xfId="0" applyNumberFormat="1" applyFont="1" applyFill="1" applyBorder="1" applyAlignment="1">
      <alignment horizontal="justify" vertical="top" wrapText="1"/>
    </xf>
    <xf numFmtId="0" fontId="3" fillId="0" borderId="4" xfId="0" applyFont="1" applyFill="1" applyBorder="1" applyAlignment="1">
      <alignment horizontal="justify" vertical="center" wrapText="1" readingOrder="1"/>
    </xf>
    <xf numFmtId="0" fontId="3" fillId="0" borderId="5" xfId="0" applyFont="1" applyFill="1" applyBorder="1" applyAlignment="1">
      <alignment horizontal="justify" vertical="center" wrapText="1" readingOrder="1"/>
    </xf>
    <xf numFmtId="0" fontId="3" fillId="0" borderId="6" xfId="0" applyFont="1" applyFill="1" applyBorder="1" applyAlignment="1">
      <alignment horizontal="justify" vertical="center" wrapText="1" readingOrder="1"/>
    </xf>
    <xf numFmtId="0" fontId="3" fillId="0" borderId="7" xfId="0" applyFont="1" applyFill="1" applyBorder="1" applyAlignment="1">
      <alignment horizontal="justify" vertical="center" wrapText="1" readingOrder="1"/>
    </xf>
    <xf numFmtId="0" fontId="3" fillId="0" borderId="2" xfId="0" applyFont="1" applyFill="1" applyBorder="1" applyAlignment="1">
      <alignment horizontal="justify" vertical="center" wrapText="1" readingOrder="1"/>
    </xf>
    <xf numFmtId="0" fontId="3" fillId="0" borderId="3" xfId="0" applyFont="1" applyFill="1" applyBorder="1" applyAlignment="1">
      <alignment horizontal="justify" vertical="center" wrapText="1" readingOrder="1"/>
    </xf>
    <xf numFmtId="0" fontId="3" fillId="0" borderId="3" xfId="0" applyFont="1" applyFill="1" applyBorder="1" applyAlignment="1">
      <alignment horizontal="left" vertical="center" wrapText="1" readingOrder="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2" fontId="2" fillId="0" borderId="13" xfId="0" applyNumberFormat="1" applyFont="1" applyFill="1" applyBorder="1" applyAlignment="1">
      <alignment horizontal="right" vertical="center" wrapText="1"/>
    </xf>
    <xf numFmtId="2" fontId="2" fillId="0" borderId="12" xfId="0" applyNumberFormat="1" applyFont="1" applyFill="1" applyBorder="1" applyAlignment="1">
      <alignment horizontal="right" vertical="center" wrapText="1"/>
    </xf>
    <xf numFmtId="0" fontId="3" fillId="0" borderId="4" xfId="0" applyFont="1" applyFill="1" applyBorder="1" applyAlignment="1">
      <alignment horizontal="justify" vertical="top" wrapText="1" readingOrder="1"/>
    </xf>
    <xf numFmtId="0" fontId="3" fillId="0" borderId="5" xfId="0" applyFont="1" applyFill="1" applyBorder="1" applyAlignment="1">
      <alignment horizontal="justify" vertical="top" wrapText="1" readingOrder="1"/>
    </xf>
    <xf numFmtId="0" fontId="3" fillId="0" borderId="6" xfId="0" applyFont="1" applyFill="1" applyBorder="1" applyAlignment="1">
      <alignment horizontal="justify" vertical="top" wrapText="1" readingOrder="1"/>
    </xf>
    <xf numFmtId="0" fontId="3" fillId="0" borderId="7" xfId="0" applyFont="1" applyFill="1" applyBorder="1" applyAlignment="1">
      <alignment horizontal="justify" vertical="top" wrapText="1" readingOrder="1"/>
    </xf>
    <xf numFmtId="4" fontId="3" fillId="0" borderId="13" xfId="0" applyNumberFormat="1" applyFont="1" applyFill="1" applyBorder="1" applyAlignment="1">
      <alignment horizontal="right" vertical="center" wrapText="1" readingOrder="1"/>
    </xf>
    <xf numFmtId="4" fontId="3" fillId="0" borderId="12" xfId="0" applyNumberFormat="1" applyFont="1" applyFill="1" applyBorder="1" applyAlignment="1">
      <alignment horizontal="right" vertical="center" wrapText="1" readingOrder="1"/>
    </xf>
    <xf numFmtId="4" fontId="3" fillId="0" borderId="1" xfId="0" applyNumberFormat="1" applyFont="1" applyFill="1" applyBorder="1" applyAlignment="1">
      <alignment horizontal="right" vertical="center" wrapText="1" readingOrder="1"/>
    </xf>
    <xf numFmtId="0" fontId="4" fillId="0" borderId="0" xfId="0" applyFont="1" applyFill="1" applyAlignment="1">
      <alignment horizontal="center" vertical="center"/>
    </xf>
    <xf numFmtId="0" fontId="2" fillId="0" borderId="1" xfId="0" applyFont="1" applyFill="1" applyBorder="1" applyAlignment="1">
      <alignment horizontal="left" vertical="center" wrapText="1"/>
    </xf>
    <xf numFmtId="0" fontId="2" fillId="0" borderId="3" xfId="0" applyFont="1" applyFill="1" applyBorder="1" applyAlignment="1">
      <alignment vertical="center" wrapText="1" readingOrder="1"/>
    </xf>
    <xf numFmtId="0" fontId="3" fillId="0" borderId="2" xfId="0" applyFont="1" applyFill="1" applyBorder="1" applyAlignment="1">
      <alignment vertical="center" wrapText="1" readingOrder="1"/>
    </xf>
    <xf numFmtId="0" fontId="3" fillId="0" borderId="2" xfId="0" applyFont="1" applyFill="1" applyBorder="1" applyAlignment="1">
      <alignment horizontal="justify" vertical="top" wrapText="1" readingOrder="1"/>
    </xf>
    <xf numFmtId="0" fontId="3" fillId="0" borderId="2" xfId="0" applyFont="1" applyFill="1" applyBorder="1" applyAlignment="1">
      <alignment horizontal="left" vertical="top" readingOrder="1"/>
    </xf>
    <xf numFmtId="0" fontId="3" fillId="0" borderId="3" xfId="0" applyFont="1" applyFill="1" applyBorder="1" applyAlignment="1">
      <alignment horizontal="left" vertical="top" readingOrder="1"/>
    </xf>
    <xf numFmtId="0" fontId="2" fillId="0" borderId="1" xfId="0" applyFont="1" applyFill="1" applyBorder="1" applyAlignment="1">
      <alignment horizontal="left" vertical="top" wrapText="1"/>
    </xf>
    <xf numFmtId="0" fontId="8" fillId="0" borderId="1" xfId="0" applyFont="1" applyFill="1" applyBorder="1" applyAlignment="1">
      <alignment vertical="top" wrapText="1" readingOrder="1"/>
    </xf>
    <xf numFmtId="0" fontId="8" fillId="0" borderId="1" xfId="0" applyFont="1" applyFill="1" applyBorder="1" applyAlignment="1">
      <alignment vertical="top" wrapText="1"/>
    </xf>
    <xf numFmtId="0" fontId="5" fillId="0" borderId="1" xfId="0" applyFont="1" applyBorder="1" applyAlignment="1">
      <alignment horizontal="center"/>
    </xf>
    <xf numFmtId="0" fontId="4" fillId="0" borderId="0" xfId="0" applyFont="1" applyFill="1" applyBorder="1" applyAlignment="1">
      <alignment horizontal="center"/>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E5E9D5"/>
      <rgbColor rgb="00000000"/>
      <rgbColor rgb="0024476F"/>
      <rgbColor rgb="00FFFFFF"/>
      <rgbColor rgb="00D3D3D3"/>
      <rgbColor rgb="00FF0000"/>
      <rgbColor rgb="000000FF"/>
      <rgbColor rgb="00800080"/>
      <rgbColor rgb="00800000"/>
      <rgbColor rgb="00008000"/>
      <rgbColor rgb="00000080"/>
      <rgbColor rgb="00808000"/>
      <rgbColor rgb="0000FFFF"/>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FF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930"/>
  <sheetViews>
    <sheetView showGridLines="0" tabSelected="1" view="pageLayout" topLeftCell="A817" zoomScale="93" zoomScaleSheetLayoutView="100" zoomScalePageLayoutView="93" workbookViewId="0">
      <selection activeCell="E827" sqref="E827"/>
    </sheetView>
  </sheetViews>
  <sheetFormatPr defaultRowHeight="15.75" x14ac:dyDescent="0.25"/>
  <cols>
    <col min="1" max="1" width="35.85546875" style="43" customWidth="1"/>
    <col min="2" max="2" width="14.28515625" style="43" customWidth="1"/>
    <col min="3" max="3" width="11" style="43" customWidth="1"/>
    <col min="4" max="4" width="43.5703125" style="173" customWidth="1"/>
    <col min="5" max="5" width="12.85546875" style="173" customWidth="1"/>
    <col min="6" max="6" width="13.42578125" style="44" customWidth="1"/>
    <col min="7" max="7" width="11.28515625" style="43" customWidth="1"/>
    <col min="8" max="8" width="15.42578125" style="43" customWidth="1"/>
    <col min="9" max="9" width="14.28515625" style="43" bestFit="1" customWidth="1"/>
    <col min="10" max="10" width="10.42578125" style="43" customWidth="1"/>
    <col min="11" max="16384" width="9.140625" style="43"/>
  </cols>
  <sheetData>
    <row r="2" spans="1:14" x14ac:dyDescent="0.25">
      <c r="A2" s="235" t="s">
        <v>52</v>
      </c>
      <c r="B2" s="235"/>
      <c r="C2" s="235"/>
      <c r="D2" s="235"/>
      <c r="E2" s="235"/>
      <c r="F2" s="235"/>
      <c r="G2" s="235"/>
      <c r="H2" s="166"/>
      <c r="I2" s="42"/>
      <c r="J2" s="42"/>
      <c r="K2" s="42"/>
      <c r="L2" s="42"/>
      <c r="M2" s="42"/>
      <c r="N2" s="42"/>
    </row>
    <row r="3" spans="1:14" x14ac:dyDescent="0.25">
      <c r="A3" s="187" t="s">
        <v>53</v>
      </c>
      <c r="B3" s="187"/>
      <c r="C3" s="187"/>
      <c r="D3" s="187"/>
      <c r="E3" s="187"/>
      <c r="F3" s="187"/>
      <c r="G3" s="187"/>
      <c r="H3" s="166"/>
      <c r="I3" s="42"/>
      <c r="J3" s="42"/>
      <c r="K3" s="42"/>
      <c r="L3" s="42"/>
    </row>
    <row r="4" spans="1:14" x14ac:dyDescent="0.25">
      <c r="A4" s="188" t="s">
        <v>54</v>
      </c>
      <c r="B4" s="188"/>
      <c r="C4" s="188"/>
      <c r="D4" s="188"/>
      <c r="E4" s="188"/>
      <c r="F4" s="188"/>
      <c r="G4" s="188"/>
      <c r="H4" s="168"/>
      <c r="I4" s="44"/>
      <c r="J4" s="44"/>
      <c r="K4" s="44"/>
      <c r="L4" s="44"/>
    </row>
    <row r="5" spans="1:14" x14ac:dyDescent="0.25">
      <c r="A5" s="168"/>
      <c r="B5" s="168"/>
      <c r="C5" s="168"/>
      <c r="D5" s="168"/>
      <c r="E5" s="168"/>
      <c r="F5" s="168"/>
      <c r="G5" s="168"/>
      <c r="H5" s="168"/>
      <c r="I5" s="168"/>
      <c r="J5" s="168"/>
      <c r="K5" s="168"/>
      <c r="L5" s="168"/>
    </row>
    <row r="6" spans="1:14" x14ac:dyDescent="0.25">
      <c r="A6" s="189" t="s">
        <v>71</v>
      </c>
      <c r="B6" s="178"/>
      <c r="C6" s="190" t="s">
        <v>72</v>
      </c>
      <c r="D6" s="190"/>
      <c r="E6" s="190"/>
      <c r="F6" s="190"/>
      <c r="G6" s="191"/>
      <c r="H6" s="173"/>
      <c r="I6" s="168"/>
      <c r="J6" s="168"/>
      <c r="K6" s="168"/>
      <c r="L6" s="44"/>
      <c r="M6" s="44"/>
      <c r="N6" s="168"/>
    </row>
    <row r="7" spans="1:14" x14ac:dyDescent="0.25">
      <c r="A7" s="176" t="s">
        <v>70</v>
      </c>
      <c r="B7" s="177"/>
      <c r="C7" s="176" t="s">
        <v>51</v>
      </c>
      <c r="D7" s="184"/>
      <c r="E7" s="178" t="s">
        <v>99</v>
      </c>
      <c r="F7" s="178"/>
      <c r="G7" s="179"/>
      <c r="H7" s="166"/>
      <c r="I7" s="168"/>
      <c r="J7" s="168"/>
      <c r="K7" s="168"/>
      <c r="L7" s="44"/>
      <c r="M7" s="44"/>
      <c r="N7" s="168"/>
    </row>
    <row r="8" spans="1:14" x14ac:dyDescent="0.25">
      <c r="A8" s="210"/>
      <c r="B8" s="210"/>
      <c r="C8" s="209"/>
      <c r="D8" s="209"/>
      <c r="E8" s="165" t="s">
        <v>597</v>
      </c>
      <c r="F8" s="45" t="s">
        <v>57</v>
      </c>
      <c r="G8" s="45" t="s">
        <v>55</v>
      </c>
      <c r="H8" s="46"/>
      <c r="I8" s="168"/>
      <c r="J8" s="168"/>
      <c r="K8" s="168"/>
      <c r="L8" s="44"/>
      <c r="M8" s="44"/>
      <c r="N8" s="168"/>
    </row>
    <row r="9" spans="1:14" ht="19.5" customHeight="1" x14ac:dyDescent="0.25">
      <c r="A9" s="175" t="s">
        <v>5</v>
      </c>
      <c r="B9" s="175"/>
      <c r="C9" s="185" t="s">
        <v>58</v>
      </c>
      <c r="D9" s="186"/>
      <c r="E9" s="38">
        <v>0</v>
      </c>
      <c r="F9" s="47">
        <f>5000000/100000</f>
        <v>50</v>
      </c>
      <c r="G9" s="48">
        <v>0</v>
      </c>
      <c r="H9" s="49"/>
    </row>
    <row r="10" spans="1:14" ht="19.5" customHeight="1" x14ac:dyDescent="0.25">
      <c r="A10" s="175"/>
      <c r="B10" s="175"/>
      <c r="C10" s="185" t="s">
        <v>73</v>
      </c>
      <c r="D10" s="186"/>
      <c r="E10" s="38">
        <v>0</v>
      </c>
      <c r="F10" s="47">
        <f>2900000/100000</f>
        <v>29</v>
      </c>
      <c r="G10" s="48">
        <v>0</v>
      </c>
      <c r="H10" s="49"/>
    </row>
    <row r="11" spans="1:14" ht="19.5" customHeight="1" x14ac:dyDescent="0.25">
      <c r="A11" s="175"/>
      <c r="B11" s="175"/>
      <c r="C11" s="185" t="s">
        <v>674</v>
      </c>
      <c r="D11" s="186"/>
      <c r="E11" s="38">
        <v>0</v>
      </c>
      <c r="F11" s="47">
        <f>500000/100000</f>
        <v>5</v>
      </c>
      <c r="G11" s="48">
        <v>0</v>
      </c>
      <c r="H11" s="49"/>
    </row>
    <row r="12" spans="1:14" ht="19.5" customHeight="1" x14ac:dyDescent="0.25">
      <c r="A12" s="175"/>
      <c r="B12" s="175"/>
      <c r="C12" s="185" t="s">
        <v>74</v>
      </c>
      <c r="D12" s="186"/>
      <c r="E12" s="38">
        <v>0</v>
      </c>
      <c r="F12" s="47">
        <f>1500000/100000</f>
        <v>15</v>
      </c>
      <c r="G12" s="48">
        <v>0</v>
      </c>
      <c r="H12" s="49"/>
    </row>
    <row r="13" spans="1:14" ht="19.5" customHeight="1" x14ac:dyDescent="0.25">
      <c r="A13" s="175"/>
      <c r="B13" s="175"/>
      <c r="C13" s="185" t="s">
        <v>75</v>
      </c>
      <c r="D13" s="186"/>
      <c r="E13" s="38">
        <v>0</v>
      </c>
      <c r="F13" s="47">
        <f>1200000/100000</f>
        <v>12</v>
      </c>
      <c r="G13" s="48">
        <v>0</v>
      </c>
      <c r="H13" s="49"/>
    </row>
    <row r="14" spans="1:14" ht="19.5" customHeight="1" x14ac:dyDescent="0.25">
      <c r="A14" s="175"/>
      <c r="B14" s="175"/>
      <c r="C14" s="182" t="s">
        <v>598</v>
      </c>
      <c r="D14" s="183"/>
      <c r="E14" s="38">
        <v>5</v>
      </c>
      <c r="F14" s="50">
        <v>0</v>
      </c>
      <c r="G14" s="51">
        <v>0</v>
      </c>
      <c r="H14" s="49"/>
    </row>
    <row r="15" spans="1:14" ht="19.5" customHeight="1" x14ac:dyDescent="0.25">
      <c r="A15" s="175"/>
      <c r="B15" s="175"/>
      <c r="C15" s="182" t="s">
        <v>599</v>
      </c>
      <c r="D15" s="183"/>
      <c r="E15" s="38">
        <v>12</v>
      </c>
      <c r="F15" s="50">
        <v>0</v>
      </c>
      <c r="G15" s="51">
        <v>0</v>
      </c>
      <c r="H15" s="49"/>
    </row>
    <row r="16" spans="1:14" ht="19.5" customHeight="1" x14ac:dyDescent="0.25">
      <c r="A16" s="175"/>
      <c r="B16" s="175"/>
      <c r="C16" s="182" t="s">
        <v>600</v>
      </c>
      <c r="D16" s="183"/>
      <c r="E16" s="38">
        <v>10</v>
      </c>
      <c r="F16" s="50">
        <v>0</v>
      </c>
      <c r="G16" s="51">
        <v>0</v>
      </c>
      <c r="H16" s="49"/>
    </row>
    <row r="17" spans="1:14" ht="19.5" customHeight="1" x14ac:dyDescent="0.25">
      <c r="A17" s="175"/>
      <c r="B17" s="175"/>
      <c r="C17" s="182" t="s">
        <v>601</v>
      </c>
      <c r="D17" s="183"/>
      <c r="E17" s="38">
        <v>5</v>
      </c>
      <c r="F17" s="50">
        <v>0</v>
      </c>
      <c r="G17" s="51">
        <v>0</v>
      </c>
      <c r="H17" s="49"/>
    </row>
    <row r="18" spans="1:14" ht="19.5" customHeight="1" x14ac:dyDescent="0.25">
      <c r="A18" s="175"/>
      <c r="B18" s="175"/>
      <c r="C18" s="185" t="s">
        <v>76</v>
      </c>
      <c r="D18" s="186"/>
      <c r="E18" s="38">
        <v>12</v>
      </c>
      <c r="F18" s="47">
        <f>1000000/100000</f>
        <v>10</v>
      </c>
      <c r="G18" s="48">
        <v>0</v>
      </c>
      <c r="H18" s="49"/>
    </row>
    <row r="19" spans="1:14" ht="19.5" customHeight="1" x14ac:dyDescent="0.25">
      <c r="A19" s="175"/>
      <c r="B19" s="175"/>
      <c r="C19" s="185" t="s">
        <v>59</v>
      </c>
      <c r="D19" s="186"/>
      <c r="E19" s="38">
        <v>0</v>
      </c>
      <c r="F19" s="47">
        <f>5000000/100000</f>
        <v>50</v>
      </c>
      <c r="G19" s="48">
        <v>0</v>
      </c>
      <c r="H19" s="49"/>
    </row>
    <row r="20" spans="1:14" ht="19.5" customHeight="1" x14ac:dyDescent="0.25">
      <c r="A20" s="175"/>
      <c r="B20" s="175"/>
      <c r="C20" s="185" t="s">
        <v>0</v>
      </c>
      <c r="D20" s="186"/>
      <c r="E20" s="38">
        <v>0</v>
      </c>
      <c r="F20" s="47">
        <f>500000/100000</f>
        <v>5</v>
      </c>
      <c r="G20" s="48">
        <v>25</v>
      </c>
      <c r="H20" s="49"/>
    </row>
    <row r="21" spans="1:14" ht="19.5" customHeight="1" x14ac:dyDescent="0.25">
      <c r="A21" s="175"/>
      <c r="B21" s="175"/>
      <c r="C21" s="182" t="s">
        <v>602</v>
      </c>
      <c r="D21" s="183"/>
      <c r="E21" s="38">
        <v>50</v>
      </c>
      <c r="F21" s="50">
        <v>0</v>
      </c>
      <c r="G21" s="51">
        <v>0</v>
      </c>
      <c r="H21" s="49"/>
    </row>
    <row r="22" spans="1:14" ht="19.5" customHeight="1" x14ac:dyDescent="0.25">
      <c r="A22" s="196" t="s">
        <v>78</v>
      </c>
      <c r="B22" s="186"/>
      <c r="C22" s="185" t="s">
        <v>8</v>
      </c>
      <c r="D22" s="186"/>
      <c r="E22" s="167">
        <v>166.69</v>
      </c>
      <c r="F22" s="47">
        <f>29498002/100000</f>
        <v>294.98002000000002</v>
      </c>
      <c r="G22" s="48">
        <v>500.64</v>
      </c>
      <c r="H22" s="49"/>
      <c r="I22" s="52"/>
    </row>
    <row r="23" spans="1:14" ht="33" customHeight="1" x14ac:dyDescent="0.25">
      <c r="A23" s="175" t="s">
        <v>79</v>
      </c>
      <c r="B23" s="236"/>
      <c r="C23" s="193" t="s">
        <v>7</v>
      </c>
      <c r="D23" s="194"/>
      <c r="E23" s="53">
        <v>18.510000000000002</v>
      </c>
      <c r="F23" s="174">
        <f>155000/100000</f>
        <v>1.55</v>
      </c>
      <c r="G23" s="54">
        <v>0</v>
      </c>
      <c r="H23" s="55">
        <f>E9+E10+E11+E12+E13+E18+E19+E20+E14+E15+E16+E17+E21+E135+E141+E142+E22+E23</f>
        <v>3194.5600000000004</v>
      </c>
      <c r="I23" s="56">
        <f>F9+F10+F11+F12+F13+F18+F19+F20+F14+F15+F16+F17+F21+F135+F141+F142+F22+F23</f>
        <v>5384.0340200000001</v>
      </c>
      <c r="J23" s="56">
        <f>G9+G10+G11+G12+G13+G18+G19+G20+G14+G15+G16+G17+G21+G135+G141+G142+G22+G23</f>
        <v>6970.3600000000006</v>
      </c>
    </row>
    <row r="24" spans="1:14" ht="21" customHeight="1" x14ac:dyDescent="0.25">
      <c r="A24" s="175" t="s">
        <v>80</v>
      </c>
      <c r="B24" s="175"/>
      <c r="C24" s="185" t="s">
        <v>9</v>
      </c>
      <c r="D24" s="186"/>
      <c r="E24" s="57">
        <v>55.57</v>
      </c>
      <c r="F24" s="47">
        <f>4941870/100000</f>
        <v>49.418700000000001</v>
      </c>
      <c r="G24" s="48">
        <v>50</v>
      </c>
      <c r="H24" s="49"/>
    </row>
    <row r="25" spans="1:14" ht="21" customHeight="1" x14ac:dyDescent="0.25">
      <c r="A25" s="175"/>
      <c r="B25" s="175"/>
      <c r="C25" s="185" t="s">
        <v>10</v>
      </c>
      <c r="D25" s="186"/>
      <c r="E25" s="57">
        <v>55.12</v>
      </c>
      <c r="F25" s="47">
        <f>4951989/100000</f>
        <v>49.519889999999997</v>
      </c>
      <c r="G25" s="48">
        <v>49.91</v>
      </c>
      <c r="H25" s="49"/>
    </row>
    <row r="26" spans="1:14" ht="21" customHeight="1" x14ac:dyDescent="0.25">
      <c r="A26" s="175"/>
      <c r="B26" s="175"/>
      <c r="C26" s="185" t="s">
        <v>11</v>
      </c>
      <c r="D26" s="186"/>
      <c r="E26" s="57">
        <v>56.12</v>
      </c>
      <c r="F26" s="47">
        <f>5000000/100000</f>
        <v>50</v>
      </c>
      <c r="G26" s="48">
        <v>50</v>
      </c>
      <c r="H26" s="49"/>
    </row>
    <row r="27" spans="1:14" ht="33" customHeight="1" x14ac:dyDescent="0.25">
      <c r="A27" s="187" t="s">
        <v>678</v>
      </c>
      <c r="B27" s="187"/>
      <c r="C27" s="187"/>
      <c r="D27" s="187"/>
      <c r="E27" s="187"/>
      <c r="F27" s="187"/>
      <c r="G27" s="187"/>
      <c r="H27" s="166"/>
      <c r="I27" s="42"/>
      <c r="J27" s="42"/>
      <c r="K27" s="42"/>
      <c r="L27" s="42"/>
      <c r="M27" s="42"/>
      <c r="N27" s="42"/>
    </row>
    <row r="28" spans="1:14" x14ac:dyDescent="0.25">
      <c r="A28" s="187" t="s">
        <v>53</v>
      </c>
      <c r="B28" s="187"/>
      <c r="C28" s="187"/>
      <c r="D28" s="187"/>
      <c r="E28" s="187"/>
      <c r="F28" s="187"/>
      <c r="G28" s="187"/>
      <c r="H28" s="166"/>
      <c r="I28" s="42"/>
      <c r="J28" s="42"/>
      <c r="K28" s="42"/>
      <c r="L28" s="42"/>
    </row>
    <row r="29" spans="1:14" x14ac:dyDescent="0.25">
      <c r="A29" s="188" t="s">
        <v>54</v>
      </c>
      <c r="B29" s="188"/>
      <c r="C29" s="188"/>
      <c r="D29" s="188"/>
      <c r="E29" s="188"/>
      <c r="F29" s="188"/>
      <c r="G29" s="188"/>
      <c r="H29" s="168"/>
      <c r="I29" s="44"/>
      <c r="J29" s="44"/>
      <c r="K29" s="44"/>
      <c r="L29" s="44"/>
    </row>
    <row r="30" spans="1:14" x14ac:dyDescent="0.25">
      <c r="A30" s="168"/>
      <c r="B30" s="168"/>
      <c r="C30" s="168"/>
      <c r="D30" s="168"/>
      <c r="E30" s="168"/>
      <c r="F30" s="168"/>
      <c r="G30" s="168"/>
      <c r="H30" s="168"/>
      <c r="I30" s="168"/>
      <c r="J30" s="168"/>
      <c r="K30" s="168"/>
      <c r="L30" s="168"/>
    </row>
    <row r="31" spans="1:14" x14ac:dyDescent="0.25">
      <c r="A31" s="189" t="s">
        <v>671</v>
      </c>
      <c r="B31" s="178"/>
      <c r="C31" s="190" t="s">
        <v>72</v>
      </c>
      <c r="D31" s="190"/>
      <c r="E31" s="190"/>
      <c r="F31" s="190"/>
      <c r="G31" s="191"/>
      <c r="H31" s="173"/>
      <c r="I31" s="168"/>
      <c r="J31" s="168"/>
      <c r="K31" s="168"/>
      <c r="L31" s="44"/>
      <c r="M31" s="44"/>
      <c r="N31" s="168"/>
    </row>
    <row r="32" spans="1:14" x14ac:dyDescent="0.25">
      <c r="A32" s="176" t="s">
        <v>70</v>
      </c>
      <c r="B32" s="177"/>
      <c r="C32" s="176" t="s">
        <v>51</v>
      </c>
      <c r="D32" s="184"/>
      <c r="E32" s="178" t="s">
        <v>99</v>
      </c>
      <c r="F32" s="178"/>
      <c r="G32" s="179"/>
      <c r="H32" s="166"/>
      <c r="I32" s="168"/>
      <c r="J32" s="168"/>
      <c r="K32" s="168"/>
      <c r="L32" s="44"/>
      <c r="M32" s="44"/>
      <c r="N32" s="168"/>
    </row>
    <row r="33" spans="1:14" x14ac:dyDescent="0.25">
      <c r="A33" s="210"/>
      <c r="B33" s="210"/>
      <c r="C33" s="209"/>
      <c r="D33" s="209"/>
      <c r="E33" s="165" t="s">
        <v>597</v>
      </c>
      <c r="F33" s="45" t="s">
        <v>57</v>
      </c>
      <c r="G33" s="45" t="s">
        <v>55</v>
      </c>
      <c r="H33" s="46"/>
      <c r="I33" s="168"/>
      <c r="J33" s="168"/>
      <c r="K33" s="168"/>
      <c r="L33" s="44"/>
      <c r="M33" s="44"/>
      <c r="N33" s="168"/>
    </row>
    <row r="34" spans="1:14" ht="21" customHeight="1" x14ac:dyDescent="0.25">
      <c r="A34" s="175" t="s">
        <v>80</v>
      </c>
      <c r="B34" s="175"/>
      <c r="C34" s="185" t="s">
        <v>81</v>
      </c>
      <c r="D34" s="186"/>
      <c r="E34" s="57">
        <v>56.12</v>
      </c>
      <c r="F34" s="47">
        <f>2500000/100000</f>
        <v>25</v>
      </c>
      <c r="G34" s="48">
        <v>0</v>
      </c>
      <c r="H34" s="49"/>
    </row>
    <row r="35" spans="1:14" ht="21" customHeight="1" x14ac:dyDescent="0.25">
      <c r="A35" s="175"/>
      <c r="B35" s="175"/>
      <c r="C35" s="185" t="s">
        <v>27</v>
      </c>
      <c r="D35" s="186"/>
      <c r="E35" s="57">
        <v>0</v>
      </c>
      <c r="F35" s="47">
        <f>2000000/100000</f>
        <v>20</v>
      </c>
      <c r="G35" s="48">
        <v>0</v>
      </c>
      <c r="H35" s="49"/>
      <c r="I35" s="58"/>
    </row>
    <row r="36" spans="1:14" ht="18.75" customHeight="1" x14ac:dyDescent="0.25">
      <c r="A36" s="175" t="s">
        <v>603</v>
      </c>
      <c r="B36" s="175"/>
      <c r="C36" s="228" t="s">
        <v>604</v>
      </c>
      <c r="D36" s="229"/>
      <c r="E36" s="226">
        <v>1.21</v>
      </c>
      <c r="F36" s="232">
        <v>0</v>
      </c>
      <c r="G36" s="234">
        <v>0</v>
      </c>
      <c r="H36" s="49"/>
    </row>
    <row r="37" spans="1:14" ht="18.75" customHeight="1" x14ac:dyDescent="0.25">
      <c r="A37" s="175"/>
      <c r="B37" s="175"/>
      <c r="C37" s="230"/>
      <c r="D37" s="231"/>
      <c r="E37" s="227"/>
      <c r="F37" s="233"/>
      <c r="G37" s="234"/>
      <c r="H37" s="49"/>
    </row>
    <row r="38" spans="1:14" ht="29.25" customHeight="1" x14ac:dyDescent="0.25">
      <c r="A38" s="213" t="s">
        <v>605</v>
      </c>
      <c r="B38" s="223"/>
      <c r="C38" s="213" t="s">
        <v>606</v>
      </c>
      <c r="D38" s="223"/>
      <c r="E38" s="59">
        <v>3854.55</v>
      </c>
      <c r="F38" s="174">
        <v>0</v>
      </c>
      <c r="G38" s="60">
        <v>0</v>
      </c>
      <c r="H38" s="61"/>
      <c r="I38" s="52"/>
    </row>
    <row r="39" spans="1:14" ht="21" customHeight="1" x14ac:dyDescent="0.25">
      <c r="A39" s="175" t="s">
        <v>85</v>
      </c>
      <c r="B39" s="175"/>
      <c r="C39" s="185" t="s">
        <v>29</v>
      </c>
      <c r="D39" s="186"/>
      <c r="E39" s="37">
        <v>30.13</v>
      </c>
      <c r="F39" s="47">
        <f>5311047/100000</f>
        <v>53.110469999999999</v>
      </c>
      <c r="G39" s="48">
        <v>12.78</v>
      </c>
      <c r="H39" s="49"/>
    </row>
    <row r="40" spans="1:14" ht="19.5" customHeight="1" x14ac:dyDescent="0.25">
      <c r="A40" s="175"/>
      <c r="B40" s="175"/>
      <c r="C40" s="185" t="s">
        <v>607</v>
      </c>
      <c r="D40" s="186"/>
      <c r="E40" s="38">
        <v>16.399999999999999</v>
      </c>
      <c r="F40" s="47">
        <f>2312490/100000</f>
        <v>23.1249</v>
      </c>
      <c r="G40" s="48">
        <v>21.9</v>
      </c>
      <c r="H40" s="49"/>
    </row>
    <row r="41" spans="1:14" ht="18" customHeight="1" x14ac:dyDescent="0.25">
      <c r="A41" s="175"/>
      <c r="B41" s="175"/>
      <c r="C41" s="185" t="s">
        <v>30</v>
      </c>
      <c r="D41" s="186"/>
      <c r="E41" s="167">
        <v>25.27</v>
      </c>
      <c r="F41" s="47">
        <f>1858180/100000</f>
        <v>18.581800000000001</v>
      </c>
      <c r="G41" s="48">
        <v>21.19</v>
      </c>
      <c r="H41" s="49"/>
    </row>
    <row r="42" spans="1:14" ht="19.5" customHeight="1" x14ac:dyDescent="0.25">
      <c r="A42" s="175"/>
      <c r="B42" s="175"/>
      <c r="C42" s="185" t="s">
        <v>31</v>
      </c>
      <c r="D42" s="186"/>
      <c r="E42" s="62">
        <v>76.75</v>
      </c>
      <c r="F42" s="47">
        <f>3542480/100000</f>
        <v>35.424799999999998</v>
      </c>
      <c r="G42" s="48">
        <v>37.159999999999997</v>
      </c>
      <c r="H42" s="49"/>
    </row>
    <row r="43" spans="1:14" ht="18" customHeight="1" x14ac:dyDescent="0.25">
      <c r="A43" s="175"/>
      <c r="B43" s="175"/>
      <c r="C43" s="185" t="s">
        <v>86</v>
      </c>
      <c r="D43" s="186"/>
      <c r="E43" s="62">
        <v>104.87</v>
      </c>
      <c r="F43" s="47">
        <f>3928652/100000</f>
        <v>39.286520000000003</v>
      </c>
      <c r="G43" s="48">
        <v>59.01</v>
      </c>
      <c r="H43" s="49"/>
    </row>
    <row r="44" spans="1:14" ht="18" customHeight="1" x14ac:dyDescent="0.25">
      <c r="A44" s="175"/>
      <c r="B44" s="175"/>
      <c r="C44" s="185" t="s">
        <v>32</v>
      </c>
      <c r="D44" s="186"/>
      <c r="E44" s="50">
        <v>42.02</v>
      </c>
      <c r="F44" s="47">
        <f>4223154/100000</f>
        <v>42.231540000000003</v>
      </c>
      <c r="G44" s="48">
        <v>37.590000000000003</v>
      </c>
      <c r="H44" s="49"/>
    </row>
    <row r="45" spans="1:14" ht="18" customHeight="1" x14ac:dyDescent="0.25">
      <c r="A45" s="175"/>
      <c r="B45" s="175"/>
      <c r="C45" s="185" t="s">
        <v>33</v>
      </c>
      <c r="D45" s="186"/>
      <c r="E45" s="167">
        <v>52.36</v>
      </c>
      <c r="F45" s="47">
        <f>5366152/100000</f>
        <v>53.661520000000003</v>
      </c>
      <c r="G45" s="63">
        <v>48.25</v>
      </c>
      <c r="H45" s="64"/>
    </row>
    <row r="46" spans="1:14" ht="18" customHeight="1" x14ac:dyDescent="0.25">
      <c r="A46" s="175"/>
      <c r="B46" s="175"/>
      <c r="C46" s="185" t="s">
        <v>34</v>
      </c>
      <c r="D46" s="186"/>
      <c r="E46" s="50">
        <v>26.86</v>
      </c>
      <c r="F46" s="47">
        <f>1488420/100000</f>
        <v>14.8842</v>
      </c>
      <c r="G46" s="63">
        <v>22.33</v>
      </c>
      <c r="H46" s="64"/>
    </row>
    <row r="47" spans="1:14" ht="18" customHeight="1" x14ac:dyDescent="0.25">
      <c r="A47" s="175"/>
      <c r="B47" s="175"/>
      <c r="C47" s="185" t="s">
        <v>87</v>
      </c>
      <c r="D47" s="186"/>
      <c r="E47" s="170">
        <v>17.38</v>
      </c>
      <c r="F47" s="47">
        <f>2307889/100000</f>
        <v>23.078890000000001</v>
      </c>
      <c r="G47" s="51">
        <v>0</v>
      </c>
      <c r="H47" s="64"/>
    </row>
    <row r="48" spans="1:14" ht="18" customHeight="1" x14ac:dyDescent="0.25">
      <c r="A48" s="175"/>
      <c r="B48" s="175"/>
      <c r="C48" s="185" t="s">
        <v>35</v>
      </c>
      <c r="D48" s="186"/>
      <c r="E48" s="167">
        <v>25.27</v>
      </c>
      <c r="F48" s="47">
        <f>1784242/100000</f>
        <v>17.842420000000001</v>
      </c>
      <c r="G48" s="63">
        <v>31.94</v>
      </c>
      <c r="H48" s="64"/>
    </row>
    <row r="49" spans="1:14" ht="18" customHeight="1" x14ac:dyDescent="0.25">
      <c r="A49" s="175"/>
      <c r="B49" s="175"/>
      <c r="C49" s="185" t="s">
        <v>36</v>
      </c>
      <c r="D49" s="186"/>
      <c r="E49" s="38">
        <v>0</v>
      </c>
      <c r="F49" s="174">
        <f>2210895/100000</f>
        <v>22.10895</v>
      </c>
      <c r="G49" s="65">
        <v>21.44</v>
      </c>
      <c r="H49" s="66">
        <f>E24+E25+E26+E34+E35+E143+E36+E39+E40+E41+E42+E43+E44+E45+E46+E47+E48+E49</f>
        <v>641.45000000000005</v>
      </c>
      <c r="I49" s="58">
        <f>F24+F25+F26+F34+F35+F143+F36+F39+F40+F41+F42+F43+F44+F45+F46+F47+F48+F49</f>
        <v>537.45210000000009</v>
      </c>
      <c r="J49" s="58">
        <f>G24+G25+G26+G34+G35+G143+G36+G39+G40+G41+G42+G43+G44+G45+G46+G47+G48+G49</f>
        <v>465.00999999999993</v>
      </c>
    </row>
    <row r="50" spans="1:14" ht="18" customHeight="1" x14ac:dyDescent="0.25">
      <c r="A50" s="175"/>
      <c r="B50" s="175"/>
      <c r="C50" s="185" t="s">
        <v>23</v>
      </c>
      <c r="D50" s="186"/>
      <c r="E50" s="38">
        <v>0</v>
      </c>
      <c r="F50" s="47">
        <f>1304445/100000</f>
        <v>13.044449999999999</v>
      </c>
      <c r="G50" s="51">
        <v>17.73</v>
      </c>
      <c r="H50" s="64"/>
    </row>
    <row r="51" spans="1:14" ht="18" customHeight="1" x14ac:dyDescent="0.25">
      <c r="A51" s="175"/>
      <c r="B51" s="175"/>
      <c r="C51" s="185" t="s">
        <v>63</v>
      </c>
      <c r="D51" s="186"/>
      <c r="E51" s="167">
        <v>26.57</v>
      </c>
      <c r="F51" s="47">
        <f>946662/100000</f>
        <v>9.4666200000000007</v>
      </c>
      <c r="G51" s="51">
        <v>0</v>
      </c>
      <c r="H51" s="64"/>
    </row>
    <row r="52" spans="1:14" ht="18" customHeight="1" x14ac:dyDescent="0.25">
      <c r="A52" s="175"/>
      <c r="B52" s="175"/>
      <c r="C52" s="185" t="s">
        <v>37</v>
      </c>
      <c r="D52" s="186"/>
      <c r="E52" s="167">
        <v>22.34</v>
      </c>
      <c r="F52" s="47">
        <f>2169857/100000</f>
        <v>21.69857</v>
      </c>
      <c r="G52" s="51">
        <v>19</v>
      </c>
      <c r="H52" s="64"/>
    </row>
    <row r="53" spans="1:14" ht="33" customHeight="1" x14ac:dyDescent="0.25">
      <c r="A53" s="187" t="s">
        <v>678</v>
      </c>
      <c r="B53" s="187"/>
      <c r="C53" s="187"/>
      <c r="D53" s="187"/>
      <c r="E53" s="187"/>
      <c r="F53" s="187"/>
      <c r="G53" s="187"/>
      <c r="H53" s="166"/>
      <c r="I53" s="42"/>
      <c r="J53" s="42"/>
      <c r="K53" s="42"/>
      <c r="L53" s="42"/>
      <c r="M53" s="42"/>
      <c r="N53" s="42"/>
    </row>
    <row r="54" spans="1:14" x14ac:dyDescent="0.25">
      <c r="A54" s="187" t="s">
        <v>53</v>
      </c>
      <c r="B54" s="187"/>
      <c r="C54" s="187"/>
      <c r="D54" s="187"/>
      <c r="E54" s="187"/>
      <c r="F54" s="187"/>
      <c r="G54" s="187"/>
      <c r="H54" s="166"/>
      <c r="I54" s="42"/>
      <c r="J54" s="42"/>
      <c r="K54" s="42"/>
      <c r="L54" s="42"/>
    </row>
    <row r="55" spans="1:14" x14ac:dyDescent="0.25">
      <c r="A55" s="188" t="s">
        <v>54</v>
      </c>
      <c r="B55" s="188"/>
      <c r="C55" s="188"/>
      <c r="D55" s="188"/>
      <c r="E55" s="188"/>
      <c r="F55" s="188"/>
      <c r="G55" s="188"/>
      <c r="H55" s="168"/>
      <c r="I55" s="44"/>
      <c r="J55" s="44"/>
      <c r="K55" s="44"/>
      <c r="L55" s="44"/>
    </row>
    <row r="56" spans="1:14" x14ac:dyDescent="0.25">
      <c r="A56" s="168"/>
      <c r="B56" s="168"/>
      <c r="C56" s="168"/>
      <c r="D56" s="168"/>
      <c r="E56" s="168"/>
      <c r="F56" s="168"/>
      <c r="G56" s="168"/>
      <c r="H56" s="168"/>
      <c r="I56" s="168"/>
      <c r="J56" s="168"/>
      <c r="K56" s="168"/>
      <c r="L56" s="168"/>
    </row>
    <row r="57" spans="1:14" x14ac:dyDescent="0.25">
      <c r="A57" s="189" t="s">
        <v>671</v>
      </c>
      <c r="B57" s="178"/>
      <c r="C57" s="190" t="s">
        <v>72</v>
      </c>
      <c r="D57" s="190"/>
      <c r="E57" s="190"/>
      <c r="F57" s="190"/>
      <c r="G57" s="191"/>
      <c r="H57" s="173"/>
      <c r="I57" s="168"/>
      <c r="J57" s="168"/>
      <c r="K57" s="168"/>
      <c r="L57" s="44"/>
      <c r="M57" s="44"/>
      <c r="N57" s="168"/>
    </row>
    <row r="58" spans="1:14" x14ac:dyDescent="0.25">
      <c r="A58" s="176" t="s">
        <v>70</v>
      </c>
      <c r="B58" s="177"/>
      <c r="C58" s="176" t="s">
        <v>51</v>
      </c>
      <c r="D58" s="184"/>
      <c r="E58" s="178" t="s">
        <v>99</v>
      </c>
      <c r="F58" s="178"/>
      <c r="G58" s="179"/>
      <c r="H58" s="166"/>
      <c r="I58" s="168"/>
      <c r="J58" s="168"/>
      <c r="K58" s="168"/>
      <c r="L58" s="44"/>
      <c r="M58" s="44"/>
      <c r="N58" s="168"/>
    </row>
    <row r="59" spans="1:14" x14ac:dyDescent="0.25">
      <c r="A59" s="210"/>
      <c r="B59" s="210"/>
      <c r="C59" s="209"/>
      <c r="D59" s="209"/>
      <c r="E59" s="165" t="s">
        <v>597</v>
      </c>
      <c r="F59" s="45" t="s">
        <v>57</v>
      </c>
      <c r="G59" s="45" t="s">
        <v>55</v>
      </c>
      <c r="H59" s="46"/>
      <c r="I59" s="168"/>
      <c r="J59" s="168"/>
      <c r="K59" s="168"/>
      <c r="L59" s="44"/>
      <c r="M59" s="44"/>
      <c r="N59" s="168"/>
    </row>
    <row r="60" spans="1:14" ht="18" customHeight="1" x14ac:dyDescent="0.25">
      <c r="A60" s="175" t="s">
        <v>85</v>
      </c>
      <c r="B60" s="175"/>
      <c r="C60" s="182" t="s">
        <v>425</v>
      </c>
      <c r="D60" s="183"/>
      <c r="E60" s="67">
        <v>0</v>
      </c>
      <c r="F60" s="47">
        <v>0</v>
      </c>
      <c r="G60" s="51">
        <v>12.33</v>
      </c>
      <c r="H60" s="64"/>
    </row>
    <row r="61" spans="1:14" ht="18" customHeight="1" x14ac:dyDescent="0.25">
      <c r="A61" s="175"/>
      <c r="B61" s="175"/>
      <c r="C61" s="185" t="s">
        <v>2</v>
      </c>
      <c r="D61" s="186"/>
      <c r="E61" s="167">
        <v>27.01</v>
      </c>
      <c r="F61" s="47">
        <f>2298543/100000</f>
        <v>22.985430000000001</v>
      </c>
      <c r="G61" s="51">
        <v>21.88</v>
      </c>
      <c r="H61" s="64"/>
    </row>
    <row r="62" spans="1:14" ht="18" customHeight="1" x14ac:dyDescent="0.25">
      <c r="A62" s="175"/>
      <c r="B62" s="175"/>
      <c r="C62" s="185" t="s">
        <v>82</v>
      </c>
      <c r="D62" s="186"/>
      <c r="E62" s="167">
        <v>32.19</v>
      </c>
      <c r="F62" s="47">
        <f>2986230/100000</f>
        <v>29.862300000000001</v>
      </c>
      <c r="G62" s="51">
        <v>29.51</v>
      </c>
      <c r="H62" s="64"/>
      <c r="I62" s="52"/>
    </row>
    <row r="63" spans="1:14" ht="18" customHeight="1" x14ac:dyDescent="0.25">
      <c r="A63" s="175"/>
      <c r="B63" s="175"/>
      <c r="C63" s="185" t="s">
        <v>38</v>
      </c>
      <c r="D63" s="186"/>
      <c r="E63" s="167">
        <v>24.75</v>
      </c>
      <c r="F63" s="47">
        <f>3230007/100000</f>
        <v>32.300069999999998</v>
      </c>
      <c r="G63" s="51">
        <v>11.73</v>
      </c>
      <c r="H63" s="64"/>
    </row>
    <row r="64" spans="1:14" ht="18" customHeight="1" x14ac:dyDescent="0.25">
      <c r="A64" s="175"/>
      <c r="B64" s="175"/>
      <c r="C64" s="185" t="s">
        <v>39</v>
      </c>
      <c r="D64" s="186"/>
      <c r="E64" s="167">
        <v>30.85</v>
      </c>
      <c r="F64" s="47">
        <f>1146220/100000</f>
        <v>11.462199999999999</v>
      </c>
      <c r="G64" s="51">
        <v>38.72</v>
      </c>
      <c r="H64" s="64"/>
    </row>
    <row r="65" spans="1:14" ht="18" customHeight="1" x14ac:dyDescent="0.25">
      <c r="A65" s="175"/>
      <c r="B65" s="175"/>
      <c r="C65" s="185" t="s">
        <v>40</v>
      </c>
      <c r="D65" s="186"/>
      <c r="E65" s="38">
        <v>48.62</v>
      </c>
      <c r="F65" s="47">
        <f>1046425/100000</f>
        <v>10.46425</v>
      </c>
      <c r="G65" s="51">
        <v>12.16</v>
      </c>
      <c r="H65" s="64"/>
      <c r="I65" s="58"/>
    </row>
    <row r="66" spans="1:14" ht="20.25" customHeight="1" x14ac:dyDescent="0.25">
      <c r="A66" s="175"/>
      <c r="B66" s="175"/>
      <c r="C66" s="185" t="s">
        <v>41</v>
      </c>
      <c r="D66" s="186"/>
      <c r="E66" s="167">
        <v>44.72</v>
      </c>
      <c r="F66" s="47">
        <f>6725165/100000</f>
        <v>67.251649999999998</v>
      </c>
      <c r="G66" s="51">
        <v>23.89</v>
      </c>
      <c r="H66" s="64"/>
    </row>
    <row r="67" spans="1:14" ht="19.5" customHeight="1" x14ac:dyDescent="0.25">
      <c r="A67" s="175"/>
      <c r="B67" s="175"/>
      <c r="C67" s="185" t="s">
        <v>672</v>
      </c>
      <c r="D67" s="186"/>
      <c r="E67" s="167">
        <v>57.18</v>
      </c>
      <c r="F67" s="47">
        <f>7942252/100000</f>
        <v>79.422520000000006</v>
      </c>
      <c r="G67" s="51">
        <v>34.770000000000003</v>
      </c>
      <c r="H67" s="64"/>
    </row>
    <row r="68" spans="1:14" ht="19.5" customHeight="1" x14ac:dyDescent="0.25">
      <c r="A68" s="175"/>
      <c r="B68" s="175"/>
      <c r="C68" s="185" t="s">
        <v>42</v>
      </c>
      <c r="D68" s="186"/>
      <c r="E68" s="38">
        <v>46.91</v>
      </c>
      <c r="F68" s="47">
        <f>4434790/100000</f>
        <v>44.347900000000003</v>
      </c>
      <c r="G68" s="51">
        <v>47</v>
      </c>
      <c r="H68" s="64"/>
    </row>
    <row r="69" spans="1:14" ht="19.5" customHeight="1" x14ac:dyDescent="0.25">
      <c r="A69" s="175"/>
      <c r="B69" s="175"/>
      <c r="C69" s="185" t="s">
        <v>43</v>
      </c>
      <c r="D69" s="186"/>
      <c r="E69" s="38">
        <v>31.2</v>
      </c>
      <c r="F69" s="47">
        <f>3898602/100000</f>
        <v>38.986020000000003</v>
      </c>
      <c r="G69" s="51">
        <v>32.32</v>
      </c>
      <c r="H69" s="64"/>
    </row>
    <row r="70" spans="1:14" ht="17.25" customHeight="1" x14ac:dyDescent="0.25">
      <c r="A70" s="175" t="s">
        <v>61</v>
      </c>
      <c r="B70" s="175"/>
      <c r="C70" s="185" t="s">
        <v>1</v>
      </c>
      <c r="D70" s="186"/>
      <c r="E70" s="167">
        <v>16.02</v>
      </c>
      <c r="F70" s="47">
        <f>2000938/100000</f>
        <v>20.00938</v>
      </c>
      <c r="G70" s="51">
        <v>0</v>
      </c>
      <c r="H70" s="64"/>
    </row>
    <row r="71" spans="1:14" ht="19.5" customHeight="1" x14ac:dyDescent="0.25">
      <c r="A71" s="175"/>
      <c r="B71" s="175"/>
      <c r="C71" s="185" t="s">
        <v>90</v>
      </c>
      <c r="D71" s="186"/>
      <c r="E71" s="38">
        <v>13.2</v>
      </c>
      <c r="F71" s="47">
        <f>1583650/100000</f>
        <v>15.836499999999999</v>
      </c>
      <c r="G71" s="51">
        <v>0</v>
      </c>
      <c r="H71" s="64"/>
    </row>
    <row r="72" spans="1:14" ht="19.5" customHeight="1" x14ac:dyDescent="0.25">
      <c r="A72" s="175"/>
      <c r="B72" s="175"/>
      <c r="C72" s="185" t="s">
        <v>15</v>
      </c>
      <c r="D72" s="186"/>
      <c r="E72" s="167">
        <v>8.31</v>
      </c>
      <c r="F72" s="47">
        <f>1935744/100000</f>
        <v>19.35744</v>
      </c>
      <c r="G72" s="51">
        <v>0</v>
      </c>
      <c r="H72" s="64"/>
    </row>
    <row r="73" spans="1:14" ht="19.5" customHeight="1" x14ac:dyDescent="0.25">
      <c r="A73" s="175"/>
      <c r="B73" s="175"/>
      <c r="C73" s="185" t="s">
        <v>16</v>
      </c>
      <c r="D73" s="186"/>
      <c r="E73" s="167">
        <v>17.36</v>
      </c>
      <c r="F73" s="47">
        <f>2090356/100000</f>
        <v>20.903559999999999</v>
      </c>
      <c r="G73" s="51">
        <v>0</v>
      </c>
      <c r="H73" s="64"/>
    </row>
    <row r="74" spans="1:14" ht="19.5" customHeight="1" x14ac:dyDescent="0.25">
      <c r="A74" s="175"/>
      <c r="B74" s="175"/>
      <c r="C74" s="185" t="s">
        <v>17</v>
      </c>
      <c r="D74" s="186"/>
      <c r="E74" s="38">
        <v>0</v>
      </c>
      <c r="F74" s="47">
        <f>4090956/100000</f>
        <v>40.909559999999999</v>
      </c>
      <c r="G74" s="51">
        <v>0</v>
      </c>
      <c r="H74" s="64"/>
    </row>
    <row r="75" spans="1:14" ht="19.5" customHeight="1" x14ac:dyDescent="0.25">
      <c r="A75" s="175"/>
      <c r="B75" s="175"/>
      <c r="C75" s="185" t="s">
        <v>18</v>
      </c>
      <c r="D75" s="186"/>
      <c r="E75" s="167">
        <v>10.66</v>
      </c>
      <c r="F75" s="47">
        <f>2033356/100000</f>
        <v>20.333559999999999</v>
      </c>
      <c r="G75" s="51">
        <v>0</v>
      </c>
      <c r="H75" s="64"/>
    </row>
    <row r="76" spans="1:14" ht="20.25" customHeight="1" x14ac:dyDescent="0.25">
      <c r="A76" s="175"/>
      <c r="B76" s="175"/>
      <c r="C76" s="185" t="s">
        <v>19</v>
      </c>
      <c r="D76" s="186"/>
      <c r="E76" s="167">
        <v>17.14</v>
      </c>
      <c r="F76" s="47">
        <f>1774838/100000</f>
        <v>17.748380000000001</v>
      </c>
      <c r="G76" s="51">
        <v>0</v>
      </c>
      <c r="H76" s="64">
        <f>E50+E51+E52+E60+E61+E62+E63+E64+E65+E66+E67+E68+E69+E70+E71+E72+E73+E74+E75+E76</f>
        <v>475.03</v>
      </c>
      <c r="I76" s="58">
        <f>F50+F51+F52+F60+F61+F62+F63+F64+F65+F66+F67+F68+F69+F70+F71+F72+F73+F74+F75+F76</f>
        <v>536.39035999999999</v>
      </c>
      <c r="J76" s="39">
        <f>G50+G51+G52+G60+G61+G62+G63+G64+G65+G66+G67+G68+G69+G70+G71+G72+G73+G74+G75+G76</f>
        <v>301.04000000000002</v>
      </c>
    </row>
    <row r="77" spans="1:14" ht="22.5" customHeight="1" x14ac:dyDescent="0.25">
      <c r="A77" s="175"/>
      <c r="B77" s="175"/>
      <c r="C77" s="185" t="s">
        <v>673</v>
      </c>
      <c r="D77" s="186"/>
      <c r="E77" s="38">
        <v>0</v>
      </c>
      <c r="F77" s="47">
        <f>997678/100000</f>
        <v>9.9767799999999998</v>
      </c>
      <c r="G77" s="51">
        <v>0</v>
      </c>
      <c r="H77" s="64"/>
    </row>
    <row r="78" spans="1:14" ht="22.5" customHeight="1" x14ac:dyDescent="0.25">
      <c r="A78" s="175"/>
      <c r="B78" s="175"/>
      <c r="C78" s="185" t="s">
        <v>21</v>
      </c>
      <c r="D78" s="186"/>
      <c r="E78" s="167">
        <v>31.07</v>
      </c>
      <c r="F78" s="47">
        <f>2185356/100000</f>
        <v>21.853560000000002</v>
      </c>
      <c r="G78" s="51">
        <v>0</v>
      </c>
      <c r="H78" s="64"/>
    </row>
    <row r="79" spans="1:14" ht="22.5" customHeight="1" x14ac:dyDescent="0.25">
      <c r="A79" s="68"/>
      <c r="B79" s="68"/>
      <c r="C79" s="69"/>
      <c r="D79" s="70"/>
      <c r="E79" s="70"/>
      <c r="F79" s="71"/>
      <c r="G79" s="72"/>
      <c r="H79" s="64"/>
    </row>
    <row r="80" spans="1:14" ht="33" customHeight="1" x14ac:dyDescent="0.25">
      <c r="A80" s="187" t="s">
        <v>678</v>
      </c>
      <c r="B80" s="187"/>
      <c r="C80" s="187"/>
      <c r="D80" s="187"/>
      <c r="E80" s="187"/>
      <c r="F80" s="187"/>
      <c r="G80" s="187"/>
      <c r="H80" s="166"/>
      <c r="I80" s="42"/>
      <c r="J80" s="42"/>
      <c r="K80" s="42"/>
      <c r="L80" s="42"/>
      <c r="M80" s="42"/>
      <c r="N80" s="42"/>
    </row>
    <row r="81" spans="1:14" x14ac:dyDescent="0.25">
      <c r="A81" s="187" t="s">
        <v>53</v>
      </c>
      <c r="B81" s="187"/>
      <c r="C81" s="187"/>
      <c r="D81" s="187"/>
      <c r="E81" s="187"/>
      <c r="F81" s="187"/>
      <c r="G81" s="187"/>
      <c r="H81" s="166"/>
      <c r="I81" s="42"/>
      <c r="J81" s="42"/>
      <c r="K81" s="42"/>
      <c r="L81" s="42"/>
    </row>
    <row r="82" spans="1:14" x14ac:dyDescent="0.25">
      <c r="A82" s="188" t="s">
        <v>54</v>
      </c>
      <c r="B82" s="188"/>
      <c r="C82" s="188"/>
      <c r="D82" s="188"/>
      <c r="E82" s="188"/>
      <c r="F82" s="188"/>
      <c r="G82" s="188"/>
      <c r="H82" s="168"/>
      <c r="I82" s="44"/>
      <c r="J82" s="44"/>
      <c r="K82" s="44"/>
      <c r="L82" s="44"/>
    </row>
    <row r="83" spans="1:14" x14ac:dyDescent="0.25">
      <c r="A83" s="168"/>
      <c r="B83" s="168"/>
      <c r="C83" s="168"/>
      <c r="D83" s="168"/>
      <c r="E83" s="168"/>
      <c r="F83" s="168"/>
      <c r="G83" s="168"/>
      <c r="H83" s="168"/>
      <c r="I83" s="168"/>
      <c r="J83" s="168"/>
      <c r="K83" s="168"/>
      <c r="L83" s="168"/>
    </row>
    <row r="84" spans="1:14" x14ac:dyDescent="0.25">
      <c r="A84" s="189" t="s">
        <v>671</v>
      </c>
      <c r="B84" s="178"/>
      <c r="C84" s="190" t="s">
        <v>72</v>
      </c>
      <c r="D84" s="190"/>
      <c r="E84" s="190"/>
      <c r="F84" s="190"/>
      <c r="G84" s="191"/>
      <c r="H84" s="173"/>
      <c r="I84" s="168"/>
      <c r="J84" s="168"/>
      <c r="K84" s="168"/>
      <c r="L84" s="44"/>
      <c r="M84" s="44"/>
      <c r="N84" s="168"/>
    </row>
    <row r="85" spans="1:14" x14ac:dyDescent="0.25">
      <c r="A85" s="176" t="s">
        <v>70</v>
      </c>
      <c r="B85" s="177"/>
      <c r="C85" s="176" t="s">
        <v>51</v>
      </c>
      <c r="D85" s="184"/>
      <c r="E85" s="178" t="s">
        <v>99</v>
      </c>
      <c r="F85" s="178"/>
      <c r="G85" s="179"/>
      <c r="H85" s="166"/>
      <c r="I85" s="168"/>
      <c r="J85" s="168"/>
      <c r="K85" s="168"/>
      <c r="L85" s="44"/>
      <c r="M85" s="44"/>
      <c r="N85" s="168"/>
    </row>
    <row r="86" spans="1:14" x14ac:dyDescent="0.25">
      <c r="A86" s="210"/>
      <c r="B86" s="210"/>
      <c r="C86" s="209"/>
      <c r="D86" s="209"/>
      <c r="E86" s="165" t="s">
        <v>597</v>
      </c>
      <c r="F86" s="45" t="s">
        <v>57</v>
      </c>
      <c r="G86" s="45" t="s">
        <v>55</v>
      </c>
      <c r="H86" s="46"/>
      <c r="I86" s="168"/>
      <c r="J86" s="168"/>
      <c r="K86" s="168"/>
      <c r="L86" s="44"/>
      <c r="M86" s="44"/>
      <c r="N86" s="168"/>
    </row>
    <row r="87" spans="1:14" ht="22.5" customHeight="1" x14ac:dyDescent="0.25">
      <c r="A87" s="175" t="s">
        <v>61</v>
      </c>
      <c r="B87" s="175"/>
      <c r="C87" s="185" t="s">
        <v>22</v>
      </c>
      <c r="D87" s="186"/>
      <c r="E87" s="38">
        <v>0</v>
      </c>
      <c r="F87" s="47">
        <f>1939306/100000</f>
        <v>19.393059999999998</v>
      </c>
      <c r="G87" s="48">
        <v>0</v>
      </c>
      <c r="H87" s="49"/>
    </row>
    <row r="88" spans="1:14" ht="22.5" customHeight="1" x14ac:dyDescent="0.25">
      <c r="A88" s="175"/>
      <c r="B88" s="175"/>
      <c r="C88" s="185" t="s">
        <v>23</v>
      </c>
      <c r="D88" s="186"/>
      <c r="E88" s="167">
        <v>16.16</v>
      </c>
      <c r="F88" s="47">
        <f>2030744/100000</f>
        <v>20.30744</v>
      </c>
      <c r="G88" s="48">
        <v>0</v>
      </c>
      <c r="H88" s="49"/>
    </row>
    <row r="89" spans="1:14" ht="22.5" customHeight="1" x14ac:dyDescent="0.25">
      <c r="A89" s="175"/>
      <c r="B89" s="175"/>
      <c r="C89" s="185" t="s">
        <v>24</v>
      </c>
      <c r="D89" s="186"/>
      <c r="E89" s="167">
        <v>27.76</v>
      </c>
      <c r="F89" s="47">
        <f>3453012/100000</f>
        <v>34.530119999999997</v>
      </c>
      <c r="G89" s="48">
        <v>0</v>
      </c>
      <c r="H89" s="49"/>
    </row>
    <row r="90" spans="1:14" ht="22.5" customHeight="1" x14ac:dyDescent="0.25">
      <c r="A90" s="175"/>
      <c r="B90" s="175"/>
      <c r="C90" s="185" t="s">
        <v>2</v>
      </c>
      <c r="D90" s="186"/>
      <c r="E90" s="38">
        <v>0</v>
      </c>
      <c r="F90" s="47">
        <f>1541100/100000</f>
        <v>15.411</v>
      </c>
      <c r="G90" s="48">
        <v>0</v>
      </c>
      <c r="H90" s="49"/>
    </row>
    <row r="91" spans="1:14" ht="22.5" customHeight="1" x14ac:dyDescent="0.25">
      <c r="A91" s="175"/>
      <c r="B91" s="175"/>
      <c r="C91" s="185" t="s">
        <v>504</v>
      </c>
      <c r="D91" s="186"/>
      <c r="E91" s="38">
        <v>35.6</v>
      </c>
      <c r="F91" s="47">
        <f>2882003/100000</f>
        <v>28.820029999999999</v>
      </c>
      <c r="G91" s="48">
        <v>0</v>
      </c>
      <c r="H91" s="49"/>
    </row>
    <row r="92" spans="1:14" ht="22.5" customHeight="1" x14ac:dyDescent="0.25">
      <c r="A92" s="175"/>
      <c r="B92" s="175"/>
      <c r="C92" s="185" t="s">
        <v>89</v>
      </c>
      <c r="D92" s="186"/>
      <c r="E92" s="167">
        <v>12.37</v>
      </c>
      <c r="F92" s="47">
        <f>1735294/100000</f>
        <v>17.35294</v>
      </c>
      <c r="G92" s="48">
        <v>0</v>
      </c>
      <c r="H92" s="49"/>
    </row>
    <row r="93" spans="1:14" ht="22.5" customHeight="1" x14ac:dyDescent="0.25">
      <c r="A93" s="175"/>
      <c r="B93" s="175"/>
      <c r="C93" s="185" t="s">
        <v>25</v>
      </c>
      <c r="D93" s="186"/>
      <c r="E93" s="38">
        <v>13</v>
      </c>
      <c r="F93" s="47">
        <f>2075429/100000</f>
        <v>20.754290000000001</v>
      </c>
      <c r="G93" s="48">
        <v>0</v>
      </c>
      <c r="H93" s="49"/>
    </row>
    <row r="94" spans="1:14" ht="22.5" customHeight="1" x14ac:dyDescent="0.25">
      <c r="A94" s="175"/>
      <c r="B94" s="175"/>
      <c r="C94" s="185" t="s">
        <v>3</v>
      </c>
      <c r="D94" s="186"/>
      <c r="E94" s="167">
        <v>26.88</v>
      </c>
      <c r="F94" s="47">
        <f>940783/100000</f>
        <v>9.4078300000000006</v>
      </c>
      <c r="G94" s="48">
        <v>0</v>
      </c>
      <c r="H94" s="49"/>
      <c r="I94" s="39"/>
    </row>
    <row r="95" spans="1:14" ht="22.5" customHeight="1" x14ac:dyDescent="0.25">
      <c r="A95" s="175"/>
      <c r="B95" s="175"/>
      <c r="C95" s="185" t="s">
        <v>13</v>
      </c>
      <c r="D95" s="186"/>
      <c r="E95" s="38">
        <v>2.5299999999999998</v>
      </c>
      <c r="F95" s="47">
        <f>283907/100000</f>
        <v>2.83907</v>
      </c>
      <c r="G95" s="48">
        <v>0</v>
      </c>
      <c r="H95" s="49"/>
    </row>
    <row r="96" spans="1:14" ht="18.75" customHeight="1" x14ac:dyDescent="0.25">
      <c r="A96" s="175"/>
      <c r="B96" s="175"/>
      <c r="C96" s="185" t="s">
        <v>14</v>
      </c>
      <c r="D96" s="186"/>
      <c r="E96" s="167">
        <v>10.97</v>
      </c>
      <c r="F96" s="47">
        <f>1531756/100000</f>
        <v>15.31756</v>
      </c>
      <c r="G96" s="48">
        <v>0</v>
      </c>
      <c r="H96" s="49"/>
    </row>
    <row r="97" spans="1:14" ht="19.5" customHeight="1" x14ac:dyDescent="0.25">
      <c r="A97" s="175"/>
      <c r="B97" s="175"/>
      <c r="C97" s="185" t="s">
        <v>26</v>
      </c>
      <c r="D97" s="186"/>
      <c r="E97" s="38">
        <v>0</v>
      </c>
      <c r="F97" s="47">
        <f>1475256/100000</f>
        <v>14.752560000000001</v>
      </c>
      <c r="G97" s="48">
        <v>0</v>
      </c>
      <c r="H97" s="49"/>
    </row>
    <row r="98" spans="1:14" ht="19.5" customHeight="1" x14ac:dyDescent="0.25">
      <c r="A98" s="175"/>
      <c r="B98" s="175"/>
      <c r="C98" s="185" t="s">
        <v>27</v>
      </c>
      <c r="D98" s="186"/>
      <c r="E98" s="167">
        <v>78.760000000000005</v>
      </c>
      <c r="F98" s="47">
        <f>11552119/100000</f>
        <v>115.52119</v>
      </c>
      <c r="G98" s="48">
        <v>0</v>
      </c>
      <c r="H98" s="49"/>
      <c r="I98" s="52"/>
    </row>
    <row r="99" spans="1:14" ht="19.5" customHeight="1" x14ac:dyDescent="0.25">
      <c r="A99" s="175"/>
      <c r="B99" s="175"/>
      <c r="C99" s="185" t="s">
        <v>28</v>
      </c>
      <c r="D99" s="186"/>
      <c r="E99" s="167">
        <v>11.58</v>
      </c>
      <c r="F99" s="47">
        <f>1726031/100000</f>
        <v>17.26031</v>
      </c>
      <c r="G99" s="48">
        <v>0</v>
      </c>
      <c r="H99" s="49"/>
    </row>
    <row r="100" spans="1:14" ht="17.25" customHeight="1" x14ac:dyDescent="0.25">
      <c r="A100" s="175" t="s">
        <v>64</v>
      </c>
      <c r="B100" s="175"/>
      <c r="C100" s="185" t="s">
        <v>91</v>
      </c>
      <c r="D100" s="242"/>
      <c r="E100" s="73">
        <v>46.56</v>
      </c>
      <c r="F100" s="47">
        <f>1500450/100000</f>
        <v>15.0045</v>
      </c>
      <c r="G100" s="48">
        <v>41.07</v>
      </c>
      <c r="H100" s="49"/>
    </row>
    <row r="101" spans="1:14" ht="17.25" customHeight="1" x14ac:dyDescent="0.25">
      <c r="A101" s="175"/>
      <c r="B101" s="175"/>
      <c r="C101" s="185" t="s">
        <v>48</v>
      </c>
      <c r="D101" s="186"/>
      <c r="E101" s="167">
        <v>17.059999999999999</v>
      </c>
      <c r="F101" s="47">
        <f>3456870/100000</f>
        <v>34.5687</v>
      </c>
      <c r="G101" s="48">
        <v>21</v>
      </c>
      <c r="H101" s="49"/>
    </row>
    <row r="102" spans="1:14" ht="17.25" customHeight="1" x14ac:dyDescent="0.25">
      <c r="A102" s="175"/>
      <c r="B102" s="175"/>
      <c r="C102" s="185" t="s">
        <v>88</v>
      </c>
      <c r="D102" s="186"/>
      <c r="E102" s="167">
        <v>45.01</v>
      </c>
      <c r="F102" s="47">
        <f>3456870/100000</f>
        <v>34.5687</v>
      </c>
      <c r="G102" s="48">
        <v>21</v>
      </c>
      <c r="H102" s="49"/>
    </row>
    <row r="103" spans="1:14" ht="17.25" customHeight="1" x14ac:dyDescent="0.25">
      <c r="A103" s="175"/>
      <c r="B103" s="175"/>
      <c r="C103" s="185" t="s">
        <v>49</v>
      </c>
      <c r="D103" s="186"/>
      <c r="E103" s="167">
        <v>44.64</v>
      </c>
      <c r="F103" s="47">
        <f>3456870/100000</f>
        <v>34.5687</v>
      </c>
      <c r="G103" s="48">
        <v>21</v>
      </c>
      <c r="H103" s="49"/>
    </row>
    <row r="104" spans="1:14" ht="17.25" customHeight="1" x14ac:dyDescent="0.25">
      <c r="A104" s="68"/>
      <c r="B104" s="68"/>
      <c r="C104" s="69"/>
      <c r="D104" s="70"/>
      <c r="E104" s="70"/>
      <c r="F104" s="71"/>
      <c r="G104" s="74"/>
      <c r="H104" s="49"/>
    </row>
    <row r="105" spans="1:14" ht="33" customHeight="1" x14ac:dyDescent="0.25">
      <c r="A105" s="187" t="s">
        <v>678</v>
      </c>
      <c r="B105" s="187"/>
      <c r="C105" s="187"/>
      <c r="D105" s="187"/>
      <c r="E105" s="187"/>
      <c r="F105" s="187"/>
      <c r="G105" s="187"/>
      <c r="H105" s="166"/>
      <c r="I105" s="42"/>
      <c r="J105" s="42"/>
      <c r="K105" s="42"/>
      <c r="L105" s="42"/>
      <c r="M105" s="42"/>
      <c r="N105" s="42"/>
    </row>
    <row r="106" spans="1:14" x14ac:dyDescent="0.25">
      <c r="A106" s="187" t="s">
        <v>53</v>
      </c>
      <c r="B106" s="187"/>
      <c r="C106" s="187"/>
      <c r="D106" s="187"/>
      <c r="E106" s="187"/>
      <c r="F106" s="187"/>
      <c r="G106" s="187"/>
      <c r="H106" s="166"/>
      <c r="I106" s="42"/>
      <c r="J106" s="42"/>
      <c r="K106" s="42"/>
      <c r="L106" s="42"/>
    </row>
    <row r="107" spans="1:14" x14ac:dyDescent="0.25">
      <c r="A107" s="188" t="s">
        <v>54</v>
      </c>
      <c r="B107" s="188"/>
      <c r="C107" s="188"/>
      <c r="D107" s="188"/>
      <c r="E107" s="188"/>
      <c r="F107" s="188"/>
      <c r="G107" s="188"/>
      <c r="H107" s="168"/>
      <c r="I107" s="44"/>
      <c r="J107" s="44"/>
      <c r="K107" s="44"/>
      <c r="L107" s="44"/>
    </row>
    <row r="108" spans="1:14" x14ac:dyDescent="0.25">
      <c r="A108" s="168"/>
      <c r="B108" s="168"/>
      <c r="C108" s="168"/>
      <c r="D108" s="168"/>
      <c r="E108" s="168"/>
      <c r="F108" s="168"/>
      <c r="G108" s="168"/>
      <c r="H108" s="168"/>
      <c r="I108" s="168"/>
      <c r="J108" s="168"/>
      <c r="K108" s="168"/>
      <c r="L108" s="168"/>
    </row>
    <row r="109" spans="1:14" x14ac:dyDescent="0.25">
      <c r="A109" s="189" t="s">
        <v>671</v>
      </c>
      <c r="B109" s="178"/>
      <c r="C109" s="190" t="s">
        <v>72</v>
      </c>
      <c r="D109" s="190"/>
      <c r="E109" s="190"/>
      <c r="F109" s="190"/>
      <c r="G109" s="191"/>
      <c r="H109" s="173"/>
      <c r="I109" s="168"/>
      <c r="J109" s="168"/>
      <c r="K109" s="168"/>
      <c r="L109" s="44"/>
      <c r="M109" s="44"/>
      <c r="N109" s="168"/>
    </row>
    <row r="110" spans="1:14" x14ac:dyDescent="0.25">
      <c r="A110" s="176" t="s">
        <v>70</v>
      </c>
      <c r="B110" s="177"/>
      <c r="C110" s="176" t="s">
        <v>51</v>
      </c>
      <c r="D110" s="184"/>
      <c r="E110" s="178" t="s">
        <v>99</v>
      </c>
      <c r="F110" s="178"/>
      <c r="G110" s="179"/>
      <c r="H110" s="166"/>
      <c r="I110" s="168"/>
      <c r="J110" s="168"/>
      <c r="K110" s="168"/>
      <c r="L110" s="44"/>
      <c r="M110" s="44"/>
      <c r="N110" s="168"/>
    </row>
    <row r="111" spans="1:14" x14ac:dyDescent="0.25">
      <c r="A111" s="210"/>
      <c r="B111" s="210"/>
      <c r="C111" s="209"/>
      <c r="D111" s="209"/>
      <c r="E111" s="165" t="s">
        <v>597</v>
      </c>
      <c r="F111" s="45" t="s">
        <v>57</v>
      </c>
      <c r="G111" s="45" t="s">
        <v>55</v>
      </c>
      <c r="H111" s="46"/>
      <c r="I111" s="168"/>
      <c r="J111" s="168"/>
      <c r="K111" s="168"/>
      <c r="L111" s="44"/>
      <c r="M111" s="44"/>
      <c r="N111" s="168"/>
    </row>
    <row r="112" spans="1:14" ht="24.75" customHeight="1" x14ac:dyDescent="0.25">
      <c r="A112" s="175" t="s">
        <v>64</v>
      </c>
      <c r="B112" s="175"/>
      <c r="C112" s="185" t="s">
        <v>92</v>
      </c>
      <c r="D112" s="186"/>
      <c r="E112" s="38">
        <v>29.91</v>
      </c>
      <c r="F112" s="47">
        <f>1500450/100000</f>
        <v>15.0045</v>
      </c>
      <c r="G112" s="48">
        <v>49.98</v>
      </c>
      <c r="H112" s="49"/>
    </row>
    <row r="113" spans="1:14" ht="22.5" customHeight="1" x14ac:dyDescent="0.25">
      <c r="A113" s="175"/>
      <c r="B113" s="175"/>
      <c r="C113" s="185" t="s">
        <v>93</v>
      </c>
      <c r="D113" s="186"/>
      <c r="E113" s="167">
        <v>43.33</v>
      </c>
      <c r="F113" s="47">
        <f>3456870/100000</f>
        <v>34.5687</v>
      </c>
      <c r="G113" s="48">
        <v>21</v>
      </c>
      <c r="H113" s="49"/>
      <c r="I113" s="58"/>
    </row>
    <row r="114" spans="1:14" ht="32.25" customHeight="1" x14ac:dyDescent="0.25">
      <c r="A114" s="175"/>
      <c r="B114" s="175"/>
      <c r="C114" s="185" t="s">
        <v>50</v>
      </c>
      <c r="D114" s="186"/>
      <c r="E114" s="170">
        <v>44.41</v>
      </c>
      <c r="F114" s="174">
        <f>1500450/100000</f>
        <v>15.0045</v>
      </c>
      <c r="G114" s="60">
        <v>41.07</v>
      </c>
      <c r="H114" s="61"/>
    </row>
    <row r="115" spans="1:14" ht="18" customHeight="1" x14ac:dyDescent="0.25">
      <c r="A115" s="175"/>
      <c r="B115" s="175"/>
      <c r="C115" s="185" t="s">
        <v>591</v>
      </c>
      <c r="D115" s="186"/>
      <c r="E115" s="38">
        <v>47.06</v>
      </c>
      <c r="F115" s="47">
        <f>3456870/100000</f>
        <v>34.5687</v>
      </c>
      <c r="G115" s="48">
        <v>21</v>
      </c>
      <c r="H115" s="49"/>
    </row>
    <row r="116" spans="1:14" ht="18" customHeight="1" x14ac:dyDescent="0.25">
      <c r="A116" s="175"/>
      <c r="B116" s="175"/>
      <c r="C116" s="185" t="s">
        <v>65</v>
      </c>
      <c r="D116" s="186"/>
      <c r="E116" s="38">
        <v>43.81</v>
      </c>
      <c r="F116" s="47">
        <f>1500450/100000</f>
        <v>15.0045</v>
      </c>
      <c r="G116" s="48">
        <v>41.07</v>
      </c>
      <c r="H116" s="49"/>
    </row>
    <row r="117" spans="1:14" ht="19.5" customHeight="1" x14ac:dyDescent="0.25">
      <c r="A117" s="175"/>
      <c r="B117" s="175"/>
      <c r="C117" s="185" t="s">
        <v>94</v>
      </c>
      <c r="D117" s="186"/>
      <c r="E117" s="38">
        <v>0</v>
      </c>
      <c r="F117" s="47">
        <f>3456870/100000</f>
        <v>34.5687</v>
      </c>
      <c r="G117" s="48">
        <v>21</v>
      </c>
      <c r="H117" s="49"/>
    </row>
    <row r="118" spans="1:14" ht="22.5" customHeight="1" x14ac:dyDescent="0.25">
      <c r="A118" s="175"/>
      <c r="B118" s="175"/>
      <c r="C118" s="185" t="s">
        <v>100</v>
      </c>
      <c r="D118" s="186"/>
      <c r="E118" s="38">
        <v>0</v>
      </c>
      <c r="F118" s="174">
        <f>3456870/100000</f>
        <v>34.5687</v>
      </c>
      <c r="G118" s="60">
        <v>21</v>
      </c>
      <c r="H118" s="49"/>
    </row>
    <row r="119" spans="1:14" ht="21.75" customHeight="1" x14ac:dyDescent="0.25">
      <c r="A119" s="175"/>
      <c r="B119" s="175"/>
      <c r="C119" s="185" t="s">
        <v>66</v>
      </c>
      <c r="D119" s="186"/>
      <c r="E119" s="38">
        <v>32.799999999999997</v>
      </c>
      <c r="F119" s="174">
        <f>1500450/100000</f>
        <v>15.0045</v>
      </c>
      <c r="G119" s="65">
        <v>41.07</v>
      </c>
      <c r="H119" s="44"/>
    </row>
    <row r="120" spans="1:14" ht="22.5" customHeight="1" x14ac:dyDescent="0.25">
      <c r="A120" s="175"/>
      <c r="B120" s="175"/>
      <c r="C120" s="185" t="s">
        <v>101</v>
      </c>
      <c r="D120" s="186"/>
      <c r="E120" s="167">
        <v>37.51</v>
      </c>
      <c r="F120" s="174">
        <f>1500450/100000</f>
        <v>15.0045</v>
      </c>
      <c r="G120" s="60">
        <v>22.51</v>
      </c>
      <c r="H120" s="49">
        <f>E144+E145+E146+E147+E100+E101+E102+E103+E112+E113+E114+E115+E116+E117+E118+E119+E120</f>
        <v>432.09999999999997</v>
      </c>
      <c r="I120" s="75">
        <f>F144+F145+F146+F147+F100+F101+F102+F103+F112+F113+F114+F115+F116+F117+F118+F119+F120</f>
        <v>332.00790000000001</v>
      </c>
      <c r="J120" s="58">
        <f>G144+G145+G146+G147+G100+G101+G102+G103+G112+G113+G114+G115+G116+G117+G118+G119+G120</f>
        <v>464.06</v>
      </c>
    </row>
    <row r="121" spans="1:14" ht="22.5" customHeight="1" x14ac:dyDescent="0.25">
      <c r="A121" s="175"/>
      <c r="B121" s="175"/>
      <c r="C121" s="185" t="s">
        <v>56</v>
      </c>
      <c r="D121" s="186"/>
      <c r="E121" s="38">
        <v>37</v>
      </c>
      <c r="F121" s="174">
        <f>1500450/100000</f>
        <v>15.0045</v>
      </c>
      <c r="G121" s="60">
        <v>41.07</v>
      </c>
      <c r="H121" s="49"/>
    </row>
    <row r="122" spans="1:14" ht="20.25" customHeight="1" x14ac:dyDescent="0.25">
      <c r="A122" s="175"/>
      <c r="B122" s="175"/>
      <c r="C122" s="185" t="s">
        <v>102</v>
      </c>
      <c r="D122" s="186"/>
      <c r="E122" s="167">
        <v>44.19</v>
      </c>
      <c r="F122" s="174">
        <f>3456870/100000</f>
        <v>34.5687</v>
      </c>
      <c r="G122" s="60">
        <v>21</v>
      </c>
      <c r="H122" s="49"/>
    </row>
    <row r="123" spans="1:14" ht="22.5" customHeight="1" x14ac:dyDescent="0.25">
      <c r="A123" s="175"/>
      <c r="B123" s="175"/>
      <c r="C123" s="185" t="s">
        <v>103</v>
      </c>
      <c r="D123" s="186"/>
      <c r="E123" s="167">
        <v>30.01</v>
      </c>
      <c r="F123" s="174">
        <f>1500450/100000</f>
        <v>15.0045</v>
      </c>
      <c r="G123" s="60">
        <v>56.07</v>
      </c>
      <c r="H123" s="49"/>
    </row>
    <row r="124" spans="1:14" ht="22.5" customHeight="1" x14ac:dyDescent="0.25">
      <c r="A124" s="175"/>
      <c r="B124" s="175"/>
      <c r="C124" s="185" t="s">
        <v>12</v>
      </c>
      <c r="D124" s="186"/>
      <c r="E124" s="167">
        <v>345.77</v>
      </c>
      <c r="F124" s="174">
        <f>8409103/100000</f>
        <v>84.091030000000003</v>
      </c>
      <c r="G124" s="60">
        <v>0</v>
      </c>
      <c r="H124" s="49"/>
    </row>
    <row r="125" spans="1:14" ht="34.5" customHeight="1" x14ac:dyDescent="0.25">
      <c r="A125" s="243" t="s">
        <v>96</v>
      </c>
      <c r="B125" s="244"/>
      <c r="C125" s="175" t="s">
        <v>4</v>
      </c>
      <c r="D125" s="211"/>
      <c r="E125" s="57">
        <v>19.899999999999999</v>
      </c>
      <c r="F125" s="174">
        <f>142220000/100000</f>
        <v>1422.2</v>
      </c>
      <c r="G125" s="60">
        <v>0</v>
      </c>
      <c r="H125" s="61"/>
      <c r="I125" s="52"/>
    </row>
    <row r="126" spans="1:14" ht="19.899999999999999" customHeight="1" x14ac:dyDescent="0.25">
      <c r="A126" s="200" t="s">
        <v>608</v>
      </c>
      <c r="B126" s="201"/>
      <c r="C126" s="182" t="s">
        <v>609</v>
      </c>
      <c r="D126" s="183"/>
      <c r="E126" s="167">
        <v>91.55</v>
      </c>
      <c r="F126" s="47">
        <v>0</v>
      </c>
      <c r="G126" s="60">
        <v>0</v>
      </c>
      <c r="H126" s="49"/>
    </row>
    <row r="127" spans="1:14" ht="15" customHeight="1" x14ac:dyDescent="0.25">
      <c r="A127" s="202"/>
      <c r="B127" s="203"/>
      <c r="C127" s="182" t="s">
        <v>610</v>
      </c>
      <c r="D127" s="183"/>
      <c r="E127" s="167">
        <v>220.46</v>
      </c>
      <c r="F127" s="47">
        <v>0</v>
      </c>
      <c r="G127" s="60">
        <v>0</v>
      </c>
      <c r="H127" s="49">
        <f>E77+E78+E87+E88+E89+E90+E91+E92+E93+E94+E95+E96+E97+E98+E99+E126+E127</f>
        <v>578.69000000000005</v>
      </c>
      <c r="I127" s="58">
        <f>F77+F78+F87+F88+F89+F90+F91+F92+F93+F94+F95+F96+F97+F98+F99+F126+F127</f>
        <v>363.49773999999996</v>
      </c>
      <c r="J127" s="39">
        <f>G77+G78+G87+G88+G89+G90+G91+G92+G93+G94+G95+G96+G97+G98+G99+G126+G127</f>
        <v>0</v>
      </c>
    </row>
    <row r="128" spans="1:14" ht="33" customHeight="1" x14ac:dyDescent="0.25">
      <c r="A128" s="187" t="s">
        <v>678</v>
      </c>
      <c r="B128" s="187"/>
      <c r="C128" s="187"/>
      <c r="D128" s="187"/>
      <c r="E128" s="187"/>
      <c r="F128" s="187"/>
      <c r="G128" s="187"/>
      <c r="H128" s="166"/>
      <c r="I128" s="42"/>
      <c r="J128" s="42"/>
      <c r="K128" s="42"/>
      <c r="L128" s="42"/>
      <c r="M128" s="42"/>
      <c r="N128" s="42"/>
    </row>
    <row r="129" spans="1:14" x14ac:dyDescent="0.25">
      <c r="A129" s="187" t="s">
        <v>53</v>
      </c>
      <c r="B129" s="187"/>
      <c r="C129" s="187"/>
      <c r="D129" s="187"/>
      <c r="E129" s="187"/>
      <c r="F129" s="187"/>
      <c r="G129" s="187"/>
      <c r="H129" s="166"/>
      <c r="I129" s="42"/>
      <c r="J129" s="42"/>
      <c r="K129" s="42"/>
      <c r="L129" s="42"/>
    </row>
    <row r="130" spans="1:14" x14ac:dyDescent="0.25">
      <c r="A130" s="188" t="s">
        <v>54</v>
      </c>
      <c r="B130" s="188"/>
      <c r="C130" s="188"/>
      <c r="D130" s="188"/>
      <c r="E130" s="188"/>
      <c r="F130" s="188"/>
      <c r="G130" s="188"/>
      <c r="H130" s="168"/>
      <c r="I130" s="44"/>
      <c r="J130" s="44"/>
      <c r="K130" s="44"/>
      <c r="L130" s="44"/>
    </row>
    <row r="131" spans="1:14" x14ac:dyDescent="0.25">
      <c r="A131" s="168"/>
      <c r="B131" s="168"/>
      <c r="C131" s="168"/>
      <c r="D131" s="168"/>
      <c r="E131" s="168"/>
      <c r="F131" s="168"/>
      <c r="G131" s="168"/>
      <c r="H131" s="168"/>
      <c r="I131" s="168"/>
      <c r="J131" s="168"/>
      <c r="K131" s="168"/>
      <c r="L131" s="168"/>
    </row>
    <row r="132" spans="1:14" x14ac:dyDescent="0.25">
      <c r="A132" s="189" t="s">
        <v>671</v>
      </c>
      <c r="B132" s="178"/>
      <c r="C132" s="190" t="s">
        <v>72</v>
      </c>
      <c r="D132" s="190"/>
      <c r="E132" s="190"/>
      <c r="F132" s="190"/>
      <c r="G132" s="191"/>
      <c r="H132" s="173"/>
      <c r="I132" s="168"/>
      <c r="J132" s="168"/>
      <c r="K132" s="168"/>
      <c r="L132" s="44"/>
      <c r="M132" s="44"/>
      <c r="N132" s="168"/>
    </row>
    <row r="133" spans="1:14" x14ac:dyDescent="0.25">
      <c r="A133" s="176" t="s">
        <v>70</v>
      </c>
      <c r="B133" s="177"/>
      <c r="C133" s="176" t="s">
        <v>51</v>
      </c>
      <c r="D133" s="184"/>
      <c r="E133" s="178" t="s">
        <v>99</v>
      </c>
      <c r="F133" s="178"/>
      <c r="G133" s="179"/>
      <c r="H133" s="166"/>
      <c r="I133" s="168"/>
      <c r="J133" s="168"/>
      <c r="K133" s="168"/>
      <c r="L133" s="44"/>
      <c r="M133" s="44"/>
      <c r="N133" s="168"/>
    </row>
    <row r="134" spans="1:14" x14ac:dyDescent="0.25">
      <c r="A134" s="210"/>
      <c r="B134" s="210"/>
      <c r="C134" s="209"/>
      <c r="D134" s="209"/>
      <c r="E134" s="165" t="s">
        <v>597</v>
      </c>
      <c r="F134" s="45" t="s">
        <v>57</v>
      </c>
      <c r="G134" s="45" t="s">
        <v>55</v>
      </c>
      <c r="H134" s="46"/>
      <c r="I134" s="168"/>
      <c r="J134" s="168"/>
      <c r="K134" s="168"/>
      <c r="L134" s="44"/>
      <c r="M134" s="44"/>
      <c r="N134" s="168"/>
    </row>
    <row r="135" spans="1:14" ht="19.5" customHeight="1" x14ac:dyDescent="0.25">
      <c r="A135" s="196" t="s">
        <v>6</v>
      </c>
      <c r="B135" s="186"/>
      <c r="C135" s="185" t="s">
        <v>77</v>
      </c>
      <c r="D135" s="186"/>
      <c r="E135" s="76">
        <v>2915.36</v>
      </c>
      <c r="F135" s="47">
        <f>491150400/100000</f>
        <v>4911.5039999999999</v>
      </c>
      <c r="G135" s="48">
        <v>6444.72</v>
      </c>
      <c r="H135" s="49"/>
    </row>
    <row r="136" spans="1:14" ht="18.75" customHeight="1" x14ac:dyDescent="0.25">
      <c r="A136" s="196" t="s">
        <v>68</v>
      </c>
      <c r="B136" s="186"/>
      <c r="C136" s="185" t="s">
        <v>44</v>
      </c>
      <c r="D136" s="186"/>
      <c r="E136" s="167">
        <v>35.86</v>
      </c>
      <c r="F136" s="47">
        <f>1490000/100000</f>
        <v>14.9</v>
      </c>
      <c r="G136" s="48">
        <v>8.25</v>
      </c>
      <c r="H136" s="49"/>
    </row>
    <row r="137" spans="1:14" ht="18" customHeight="1" x14ac:dyDescent="0.25">
      <c r="A137" s="196" t="s">
        <v>69</v>
      </c>
      <c r="B137" s="186"/>
      <c r="C137" s="185" t="s">
        <v>62</v>
      </c>
      <c r="D137" s="186"/>
      <c r="E137" s="38">
        <v>115.9</v>
      </c>
      <c r="F137" s="47">
        <f>6500000/100000</f>
        <v>65</v>
      </c>
      <c r="G137" s="48">
        <v>0</v>
      </c>
      <c r="H137" s="49"/>
    </row>
    <row r="138" spans="1:14" ht="33" customHeight="1" x14ac:dyDescent="0.25">
      <c r="A138" s="196" t="s">
        <v>97</v>
      </c>
      <c r="B138" s="186"/>
      <c r="C138" s="213" t="s">
        <v>60</v>
      </c>
      <c r="D138" s="237"/>
      <c r="E138" s="172">
        <v>25602.52</v>
      </c>
      <c r="F138" s="174">
        <f>4808921000/100000</f>
        <v>48089.21</v>
      </c>
      <c r="G138" s="60">
        <v>0</v>
      </c>
      <c r="H138" s="61"/>
    </row>
    <row r="139" spans="1:14" ht="18" customHeight="1" x14ac:dyDescent="0.25">
      <c r="A139" s="77" t="s">
        <v>98</v>
      </c>
      <c r="B139" s="78"/>
      <c r="C139" s="185" t="s">
        <v>664</v>
      </c>
      <c r="D139" s="186"/>
      <c r="E139" s="79">
        <v>0</v>
      </c>
      <c r="F139" s="47">
        <f>25507800/100000</f>
        <v>255.078</v>
      </c>
      <c r="G139" s="48">
        <v>0</v>
      </c>
      <c r="H139" s="49"/>
    </row>
    <row r="140" spans="1:14" ht="18" customHeight="1" x14ac:dyDescent="0.25">
      <c r="A140" s="80"/>
      <c r="B140" s="81"/>
      <c r="C140" s="182" t="s">
        <v>62</v>
      </c>
      <c r="D140" s="183"/>
      <c r="E140" s="82">
        <v>314.10000000000002</v>
      </c>
      <c r="F140" s="47">
        <v>0</v>
      </c>
      <c r="G140" s="48">
        <v>0</v>
      </c>
      <c r="H140" s="49"/>
    </row>
    <row r="141" spans="1:14" ht="19.5" customHeight="1" x14ac:dyDescent="0.25">
      <c r="A141" s="200" t="s">
        <v>491</v>
      </c>
      <c r="B141" s="201"/>
      <c r="C141" s="182" t="s">
        <v>492</v>
      </c>
      <c r="D141" s="183"/>
      <c r="E141" s="79">
        <v>0</v>
      </c>
      <c r="F141" s="174">
        <v>0</v>
      </c>
      <c r="G141" s="60">
        <v>0</v>
      </c>
      <c r="H141" s="61"/>
    </row>
    <row r="142" spans="1:14" ht="19.5" customHeight="1" x14ac:dyDescent="0.25">
      <c r="A142" s="202"/>
      <c r="B142" s="203"/>
      <c r="C142" s="182" t="s">
        <v>493</v>
      </c>
      <c r="D142" s="183"/>
      <c r="E142" s="79">
        <v>0</v>
      </c>
      <c r="F142" s="47">
        <v>0</v>
      </c>
      <c r="G142" s="48">
        <v>0</v>
      </c>
      <c r="H142" s="49"/>
    </row>
    <row r="143" spans="1:14" ht="18.75" customHeight="1" x14ac:dyDescent="0.25">
      <c r="A143" s="196" t="s">
        <v>83</v>
      </c>
      <c r="B143" s="186"/>
      <c r="C143" s="185" t="s">
        <v>84</v>
      </c>
      <c r="D143" s="186"/>
      <c r="E143" s="57">
        <v>0</v>
      </c>
      <c r="F143" s="174">
        <f>17750/100000</f>
        <v>0.17749999999999999</v>
      </c>
      <c r="G143" s="60">
        <v>1.51</v>
      </c>
      <c r="H143" s="49"/>
    </row>
    <row r="144" spans="1:14" ht="24" customHeight="1" x14ac:dyDescent="0.25">
      <c r="A144" s="175" t="s">
        <v>518</v>
      </c>
      <c r="B144" s="175"/>
      <c r="C144" s="182" t="s">
        <v>519</v>
      </c>
      <c r="D144" s="183"/>
      <c r="E144" s="67">
        <v>0</v>
      </c>
      <c r="F144" s="83">
        <v>0</v>
      </c>
      <c r="G144" s="48">
        <v>1.53</v>
      </c>
      <c r="H144" s="49"/>
    </row>
    <row r="145" spans="1:14" ht="24.75" customHeight="1" x14ac:dyDescent="0.25">
      <c r="A145" s="175"/>
      <c r="B145" s="175"/>
      <c r="C145" s="182" t="s">
        <v>520</v>
      </c>
      <c r="D145" s="183"/>
      <c r="E145" s="67">
        <v>0</v>
      </c>
      <c r="F145" s="83">
        <v>0</v>
      </c>
      <c r="G145" s="48">
        <v>25.96</v>
      </c>
      <c r="H145" s="49"/>
    </row>
    <row r="146" spans="1:14" ht="21.75" customHeight="1" x14ac:dyDescent="0.25">
      <c r="A146" s="175"/>
      <c r="B146" s="175"/>
      <c r="C146" s="182" t="s">
        <v>443</v>
      </c>
      <c r="D146" s="183"/>
      <c r="E146" s="67">
        <v>0</v>
      </c>
      <c r="F146" s="83">
        <v>0</v>
      </c>
      <c r="G146" s="48">
        <v>27.24</v>
      </c>
      <c r="H146" s="49"/>
    </row>
    <row r="147" spans="1:14" ht="22.5" customHeight="1" x14ac:dyDescent="0.25">
      <c r="A147" s="175"/>
      <c r="B147" s="175"/>
      <c r="C147" s="182" t="s">
        <v>521</v>
      </c>
      <c r="D147" s="183"/>
      <c r="E147" s="67">
        <v>0</v>
      </c>
      <c r="F147" s="47">
        <v>0</v>
      </c>
      <c r="G147" s="48">
        <v>25.56</v>
      </c>
      <c r="H147" s="49"/>
    </row>
    <row r="148" spans="1:14" ht="20.25" customHeight="1" x14ac:dyDescent="0.25">
      <c r="A148" s="197" t="s">
        <v>67</v>
      </c>
      <c r="B148" s="197"/>
      <c r="C148" s="185" t="s">
        <v>95</v>
      </c>
      <c r="D148" s="186"/>
      <c r="E148" s="57">
        <v>0</v>
      </c>
      <c r="F148" s="174">
        <f>3000000/100000</f>
        <v>30</v>
      </c>
      <c r="G148" s="60">
        <v>50</v>
      </c>
      <c r="H148" s="49"/>
    </row>
    <row r="149" spans="1:14" ht="20.25" customHeight="1" x14ac:dyDescent="0.25">
      <c r="A149" s="197"/>
      <c r="B149" s="197"/>
      <c r="C149" s="185" t="s">
        <v>91</v>
      </c>
      <c r="D149" s="185"/>
      <c r="E149" s="57">
        <v>0</v>
      </c>
      <c r="F149" s="174">
        <v>0</v>
      </c>
      <c r="G149" s="60">
        <v>50</v>
      </c>
      <c r="H149" s="49"/>
    </row>
    <row r="150" spans="1:14" ht="19.5" customHeight="1" x14ac:dyDescent="0.25">
      <c r="A150" s="197"/>
      <c r="B150" s="197"/>
      <c r="C150" s="185" t="s">
        <v>426</v>
      </c>
      <c r="D150" s="185"/>
      <c r="E150" s="57">
        <v>0</v>
      </c>
      <c r="F150" s="174">
        <v>0</v>
      </c>
      <c r="G150" s="60">
        <v>35.47</v>
      </c>
      <c r="H150" s="49"/>
    </row>
    <row r="151" spans="1:14" ht="23.25" customHeight="1" x14ac:dyDescent="0.25">
      <c r="A151" s="197"/>
      <c r="B151" s="197"/>
      <c r="C151" s="185" t="s">
        <v>88</v>
      </c>
      <c r="D151" s="186"/>
      <c r="E151" s="57">
        <v>0</v>
      </c>
      <c r="F151" s="174">
        <f>3000000/100000</f>
        <v>30</v>
      </c>
      <c r="G151" s="60">
        <v>33.700000000000003</v>
      </c>
      <c r="H151" s="49"/>
    </row>
    <row r="152" spans="1:14" ht="33" customHeight="1" x14ac:dyDescent="0.25">
      <c r="A152" s="187" t="s">
        <v>678</v>
      </c>
      <c r="B152" s="187"/>
      <c r="C152" s="187"/>
      <c r="D152" s="187"/>
      <c r="E152" s="187"/>
      <c r="F152" s="187"/>
      <c r="G152" s="187"/>
      <c r="H152" s="166"/>
      <c r="I152" s="42"/>
      <c r="J152" s="42"/>
      <c r="K152" s="42"/>
      <c r="L152" s="42"/>
      <c r="M152" s="42"/>
      <c r="N152" s="42"/>
    </row>
    <row r="153" spans="1:14" x14ac:dyDescent="0.25">
      <c r="A153" s="187" t="s">
        <v>53</v>
      </c>
      <c r="B153" s="187"/>
      <c r="C153" s="187"/>
      <c r="D153" s="187"/>
      <c r="E153" s="187"/>
      <c r="F153" s="187"/>
      <c r="G153" s="187"/>
      <c r="H153" s="166"/>
      <c r="I153" s="42"/>
      <c r="J153" s="42"/>
      <c r="K153" s="42"/>
      <c r="L153" s="42"/>
    </row>
    <row r="154" spans="1:14" x14ac:dyDescent="0.25">
      <c r="A154" s="188" t="s">
        <v>54</v>
      </c>
      <c r="B154" s="188"/>
      <c r="C154" s="188"/>
      <c r="D154" s="188"/>
      <c r="E154" s="188"/>
      <c r="F154" s="188"/>
      <c r="G154" s="188"/>
      <c r="H154" s="168"/>
      <c r="I154" s="44"/>
      <c r="J154" s="44"/>
      <c r="K154" s="44"/>
      <c r="L154" s="44"/>
    </row>
    <row r="155" spans="1:14" x14ac:dyDescent="0.25">
      <c r="A155" s="168"/>
      <c r="B155" s="168"/>
      <c r="C155" s="168"/>
      <c r="D155" s="168"/>
      <c r="E155" s="168"/>
      <c r="F155" s="168"/>
      <c r="G155" s="168"/>
      <c r="H155" s="168"/>
      <c r="I155" s="168"/>
      <c r="J155" s="168"/>
      <c r="K155" s="168"/>
      <c r="L155" s="168"/>
    </row>
    <row r="156" spans="1:14" x14ac:dyDescent="0.25">
      <c r="A156" s="189" t="s">
        <v>670</v>
      </c>
      <c r="B156" s="178"/>
      <c r="C156" s="190" t="s">
        <v>72</v>
      </c>
      <c r="D156" s="190"/>
      <c r="E156" s="190"/>
      <c r="F156" s="190"/>
      <c r="G156" s="191"/>
      <c r="H156" s="173"/>
      <c r="I156" s="168"/>
      <c r="J156" s="168"/>
      <c r="K156" s="168"/>
      <c r="L156" s="44"/>
      <c r="M156" s="44"/>
      <c r="N156" s="168"/>
    </row>
    <row r="157" spans="1:14" x14ac:dyDescent="0.25">
      <c r="A157" s="176" t="s">
        <v>70</v>
      </c>
      <c r="B157" s="177"/>
      <c r="C157" s="176" t="s">
        <v>51</v>
      </c>
      <c r="D157" s="184"/>
      <c r="E157" s="178" t="s">
        <v>99</v>
      </c>
      <c r="F157" s="178"/>
      <c r="G157" s="179"/>
      <c r="H157" s="166"/>
      <c r="I157" s="168"/>
      <c r="J157" s="168"/>
      <c r="K157" s="168"/>
      <c r="L157" s="44"/>
      <c r="M157" s="44"/>
      <c r="N157" s="168"/>
    </row>
    <row r="158" spans="1:14" x14ac:dyDescent="0.25">
      <c r="A158" s="210"/>
      <c r="B158" s="210"/>
      <c r="C158" s="209"/>
      <c r="D158" s="209"/>
      <c r="E158" s="165" t="s">
        <v>597</v>
      </c>
      <c r="F158" s="45" t="s">
        <v>57</v>
      </c>
      <c r="G158" s="45" t="s">
        <v>55</v>
      </c>
      <c r="H158" s="46"/>
      <c r="I158" s="168"/>
      <c r="J158" s="168"/>
      <c r="K158" s="168"/>
      <c r="L158" s="44"/>
      <c r="M158" s="44"/>
      <c r="N158" s="168"/>
    </row>
    <row r="159" spans="1:14" ht="18.399999999999999" customHeight="1" x14ac:dyDescent="0.25">
      <c r="A159" s="197" t="s">
        <v>67</v>
      </c>
      <c r="B159" s="197"/>
      <c r="C159" s="185" t="s">
        <v>47</v>
      </c>
      <c r="D159" s="186"/>
      <c r="E159" s="57">
        <v>0</v>
      </c>
      <c r="F159" s="174">
        <f>3000000/100000</f>
        <v>30</v>
      </c>
      <c r="G159" s="60">
        <v>50</v>
      </c>
      <c r="H159" s="49"/>
    </row>
    <row r="160" spans="1:14" ht="21.75" customHeight="1" x14ac:dyDescent="0.25">
      <c r="A160" s="197"/>
      <c r="B160" s="197"/>
      <c r="C160" s="185" t="s">
        <v>427</v>
      </c>
      <c r="D160" s="185"/>
      <c r="E160" s="57">
        <v>0</v>
      </c>
      <c r="F160" s="174">
        <v>0</v>
      </c>
      <c r="G160" s="60">
        <v>50</v>
      </c>
      <c r="H160" s="49"/>
    </row>
    <row r="161" spans="1:14" ht="20.25" customHeight="1" x14ac:dyDescent="0.25">
      <c r="A161" s="197"/>
      <c r="B161" s="197"/>
      <c r="C161" s="185" t="s">
        <v>428</v>
      </c>
      <c r="D161" s="185"/>
      <c r="E161" s="57">
        <v>0</v>
      </c>
      <c r="F161" s="174">
        <v>0</v>
      </c>
      <c r="G161" s="60">
        <v>50</v>
      </c>
      <c r="H161" s="49"/>
      <c r="I161" s="58"/>
    </row>
    <row r="162" spans="1:14" ht="21" customHeight="1" x14ac:dyDescent="0.25">
      <c r="A162" s="197"/>
      <c r="B162" s="197"/>
      <c r="C162" s="213" t="s">
        <v>102</v>
      </c>
      <c r="D162" s="223"/>
      <c r="E162" s="57">
        <v>0</v>
      </c>
      <c r="F162" s="174">
        <v>0</v>
      </c>
      <c r="G162" s="60">
        <v>50</v>
      </c>
      <c r="H162" s="49"/>
    </row>
    <row r="163" spans="1:14" ht="22.15" customHeight="1" x14ac:dyDescent="0.25">
      <c r="A163" s="197"/>
      <c r="B163" s="197"/>
      <c r="C163" s="175" t="s">
        <v>12</v>
      </c>
      <c r="D163" s="211"/>
      <c r="E163" s="57">
        <v>0</v>
      </c>
      <c r="F163" s="174">
        <f>11538000/100000</f>
        <v>115.38</v>
      </c>
      <c r="G163" s="60">
        <v>0</v>
      </c>
      <c r="H163" s="49"/>
      <c r="I163" s="52"/>
    </row>
    <row r="164" spans="1:14" ht="19.5" customHeight="1" x14ac:dyDescent="0.25">
      <c r="A164" s="182" t="s">
        <v>512</v>
      </c>
      <c r="B164" s="183"/>
      <c r="C164" s="182" t="s">
        <v>513</v>
      </c>
      <c r="D164" s="183"/>
      <c r="E164" s="38">
        <v>0</v>
      </c>
      <c r="F164" s="47">
        <v>0</v>
      </c>
      <c r="G164" s="48">
        <v>1</v>
      </c>
      <c r="H164" s="49"/>
      <c r="I164" s="52"/>
    </row>
    <row r="165" spans="1:14" ht="18.399999999999999" customHeight="1" x14ac:dyDescent="0.25">
      <c r="A165" s="182" t="s">
        <v>482</v>
      </c>
      <c r="B165" s="183"/>
      <c r="C165" s="182" t="s">
        <v>483</v>
      </c>
      <c r="D165" s="183"/>
      <c r="E165" s="50">
        <v>0</v>
      </c>
      <c r="F165" s="47">
        <v>0</v>
      </c>
      <c r="G165" s="48">
        <v>17.04</v>
      </c>
      <c r="H165" s="49"/>
      <c r="I165" s="75">
        <f>F121+F122+F123+F124+F148+F149+F150+F151+F159+F160+F161+F162+F163+F164+F165</f>
        <v>354.04872999999998</v>
      </c>
      <c r="J165" s="39">
        <f>G121+G122+G123+G124+G148+G149+G150+G151+G159+G160+G161+G162+G163+G164+G165</f>
        <v>505.35</v>
      </c>
    </row>
    <row r="166" spans="1:14" ht="18.75" customHeight="1" x14ac:dyDescent="0.25">
      <c r="A166" s="182" t="s">
        <v>477</v>
      </c>
      <c r="B166" s="183"/>
      <c r="C166" s="182" t="s">
        <v>478</v>
      </c>
      <c r="D166" s="183"/>
      <c r="E166" s="67">
        <v>0</v>
      </c>
      <c r="F166" s="47">
        <v>0</v>
      </c>
      <c r="G166" s="48">
        <v>10.9</v>
      </c>
      <c r="H166" s="49"/>
    </row>
    <row r="167" spans="1:14" ht="20.25" customHeight="1" x14ac:dyDescent="0.25">
      <c r="A167" s="196" t="s">
        <v>45</v>
      </c>
      <c r="B167" s="186"/>
      <c r="C167" s="185" t="s">
        <v>46</v>
      </c>
      <c r="D167" s="186"/>
      <c r="E167" s="38">
        <v>0</v>
      </c>
      <c r="F167" s="47">
        <f>90189000/100000</f>
        <v>901.89</v>
      </c>
      <c r="G167" s="48">
        <v>514.62</v>
      </c>
      <c r="H167" s="49"/>
    </row>
    <row r="168" spans="1:14" ht="33" customHeight="1" x14ac:dyDescent="0.25">
      <c r="A168" s="182" t="s">
        <v>479</v>
      </c>
      <c r="B168" s="183"/>
      <c r="C168" s="182" t="s">
        <v>157</v>
      </c>
      <c r="D168" s="183"/>
      <c r="E168" s="79">
        <v>0</v>
      </c>
      <c r="F168" s="174">
        <v>0</v>
      </c>
      <c r="G168" s="60">
        <v>1.26</v>
      </c>
      <c r="H168" s="61"/>
    </row>
    <row r="169" spans="1:14" ht="18" customHeight="1" x14ac:dyDescent="0.25">
      <c r="A169" s="175" t="s">
        <v>516</v>
      </c>
      <c r="B169" s="175"/>
      <c r="C169" s="175" t="s">
        <v>517</v>
      </c>
      <c r="D169" s="175"/>
      <c r="E169" s="67">
        <v>0</v>
      </c>
      <c r="F169" s="84">
        <v>0</v>
      </c>
      <c r="G169" s="60">
        <v>67.12</v>
      </c>
      <c r="H169" s="49"/>
    </row>
    <row r="170" spans="1:14" ht="18" customHeight="1" x14ac:dyDescent="0.25">
      <c r="A170" s="196" t="s">
        <v>243</v>
      </c>
      <c r="B170" s="186"/>
      <c r="C170" s="185" t="s">
        <v>104</v>
      </c>
      <c r="D170" s="186"/>
      <c r="E170" s="38">
        <v>0</v>
      </c>
      <c r="F170" s="47">
        <f>819300/100000</f>
        <v>8.1929999999999996</v>
      </c>
      <c r="G170" s="85">
        <v>0</v>
      </c>
      <c r="H170" s="49"/>
      <c r="I170" s="58"/>
    </row>
    <row r="171" spans="1:14" ht="35.65" customHeight="1" x14ac:dyDescent="0.25">
      <c r="A171" s="213" t="s">
        <v>468</v>
      </c>
      <c r="B171" s="223"/>
      <c r="C171" s="239" t="s">
        <v>469</v>
      </c>
      <c r="D171" s="206"/>
      <c r="E171" s="57">
        <v>0</v>
      </c>
      <c r="F171" s="174">
        <v>0</v>
      </c>
      <c r="G171" s="60">
        <v>6.6</v>
      </c>
      <c r="H171" s="61"/>
    </row>
    <row r="172" spans="1:14" ht="21" customHeight="1" x14ac:dyDescent="0.25">
      <c r="A172" s="175" t="s">
        <v>470</v>
      </c>
      <c r="B172" s="175"/>
      <c r="C172" s="182" t="s">
        <v>471</v>
      </c>
      <c r="D172" s="183"/>
      <c r="E172" s="38">
        <v>0</v>
      </c>
      <c r="F172" s="174">
        <v>0</v>
      </c>
      <c r="G172" s="60">
        <v>250</v>
      </c>
      <c r="H172" s="61"/>
      <c r="I172" s="56">
        <f>F125+F38+F136+F166+F137+F167+F138+F168+F139+F140+F169+F170+F171+F172</f>
        <v>50756.470999999998</v>
      </c>
      <c r="J172" s="56">
        <f>G125+G38+G136+G166+G137+G167+G138+G168+G139+G140+G169+G170+G171+G172</f>
        <v>858.75</v>
      </c>
    </row>
    <row r="173" spans="1:14" ht="37.9" customHeight="1" x14ac:dyDescent="0.25">
      <c r="A173" s="202" t="s">
        <v>592</v>
      </c>
      <c r="B173" s="203"/>
      <c r="C173" s="182" t="s">
        <v>476</v>
      </c>
      <c r="D173" s="183"/>
      <c r="E173" s="57">
        <v>0</v>
      </c>
      <c r="F173" s="174">
        <v>0</v>
      </c>
      <c r="G173" s="60">
        <v>1076.0999999999999</v>
      </c>
      <c r="H173" s="86">
        <v>0</v>
      </c>
      <c r="I173" s="87">
        <v>0</v>
      </c>
      <c r="J173" s="87">
        <v>1076.0999999999999</v>
      </c>
    </row>
    <row r="174" spans="1:14" ht="20.65" customHeight="1" x14ac:dyDescent="0.25">
      <c r="A174" s="209"/>
      <c r="B174" s="209"/>
      <c r="C174" s="210" t="s">
        <v>105</v>
      </c>
      <c r="D174" s="210"/>
      <c r="E174" s="40">
        <f>E14+E15+E16+E17+E18+E21+E22+E23+E24+E25+E26+E34+E36+E38+E39+E40+E41+E42+E43+E44+E45+E46+E47+E48+E51+E52+E61+E62+E63+E64+E65+E66+E67+E68+E69+E70+E71+E72+E73+E75+E76+E78+E88+E89+E91+E92+E93+E94+E95+E96+E98+E99+E100+E101+E102+E103+E112+E113+E114+E115+E116+E119+E120+E121+E122+E123+E124+E125+E126+E127+E135+E136+E137+E138+E140</f>
        <v>35721.630000000005</v>
      </c>
      <c r="F174" s="41">
        <v>58263.85</v>
      </c>
      <c r="G174" s="41">
        <v>10640.67</v>
      </c>
      <c r="H174" s="88"/>
      <c r="I174" s="89"/>
    </row>
    <row r="175" spans="1:14" ht="29.45" customHeight="1" x14ac:dyDescent="0.25">
      <c r="A175" s="187" t="s">
        <v>678</v>
      </c>
      <c r="B175" s="187"/>
      <c r="C175" s="187"/>
      <c r="D175" s="187"/>
      <c r="E175" s="187"/>
      <c r="F175" s="187"/>
      <c r="G175" s="187"/>
      <c r="H175" s="166"/>
      <c r="I175" s="42"/>
      <c r="J175" s="42"/>
      <c r="K175" s="42"/>
      <c r="L175" s="42"/>
      <c r="M175" s="42"/>
      <c r="N175" s="42"/>
    </row>
    <row r="176" spans="1:14" x14ac:dyDescent="0.25">
      <c r="A176" s="187" t="s">
        <v>53</v>
      </c>
      <c r="B176" s="187"/>
      <c r="C176" s="187"/>
      <c r="D176" s="187"/>
      <c r="E176" s="187"/>
      <c r="F176" s="187"/>
      <c r="G176" s="187"/>
      <c r="H176" s="166"/>
      <c r="I176" s="42"/>
      <c r="J176" s="42"/>
      <c r="K176" s="42"/>
      <c r="L176" s="42"/>
    </row>
    <row r="177" spans="1:14" x14ac:dyDescent="0.25">
      <c r="A177" s="188" t="s">
        <v>54</v>
      </c>
      <c r="B177" s="188"/>
      <c r="C177" s="188"/>
      <c r="D177" s="188"/>
      <c r="E177" s="188"/>
      <c r="F177" s="188"/>
      <c r="G177" s="188"/>
      <c r="H177" s="168"/>
      <c r="I177" s="44"/>
      <c r="J177" s="44"/>
      <c r="K177" s="44"/>
      <c r="L177" s="44"/>
    </row>
    <row r="178" spans="1:14" x14ac:dyDescent="0.25">
      <c r="A178" s="44"/>
      <c r="B178" s="44"/>
      <c r="C178" s="44"/>
      <c r="D178" s="44"/>
      <c r="E178" s="44"/>
      <c r="G178" s="44"/>
      <c r="H178" s="44"/>
      <c r="I178" s="168"/>
      <c r="J178" s="168"/>
      <c r="K178" s="168"/>
      <c r="L178" s="168"/>
    </row>
    <row r="179" spans="1:14" x14ac:dyDescent="0.25">
      <c r="A179" s="189" t="s">
        <v>669</v>
      </c>
      <c r="B179" s="178"/>
      <c r="C179" s="190" t="s">
        <v>72</v>
      </c>
      <c r="D179" s="190"/>
      <c r="E179" s="190"/>
      <c r="F179" s="190"/>
      <c r="G179" s="191"/>
      <c r="H179" s="173"/>
      <c r="I179" s="168"/>
      <c r="J179" s="168"/>
      <c r="K179" s="168"/>
      <c r="L179" s="44"/>
      <c r="M179" s="44"/>
      <c r="N179" s="168"/>
    </row>
    <row r="180" spans="1:14" x14ac:dyDescent="0.25">
      <c r="A180" s="176" t="s">
        <v>70</v>
      </c>
      <c r="B180" s="177"/>
      <c r="C180" s="176" t="s">
        <v>51</v>
      </c>
      <c r="D180" s="184"/>
      <c r="E180" s="178" t="s">
        <v>99</v>
      </c>
      <c r="F180" s="178"/>
      <c r="G180" s="179"/>
      <c r="H180" s="166"/>
      <c r="I180" s="168"/>
      <c r="J180" s="168"/>
      <c r="K180" s="168"/>
      <c r="L180" s="44"/>
      <c r="M180" s="44"/>
      <c r="N180" s="168"/>
    </row>
    <row r="181" spans="1:14" x14ac:dyDescent="0.25">
      <c r="A181" s="210"/>
      <c r="B181" s="210"/>
      <c r="C181" s="209"/>
      <c r="D181" s="209"/>
      <c r="E181" s="165" t="s">
        <v>597</v>
      </c>
      <c r="F181" s="45" t="s">
        <v>57</v>
      </c>
      <c r="G181" s="45" t="s">
        <v>55</v>
      </c>
      <c r="H181" s="46"/>
      <c r="I181" s="168"/>
      <c r="J181" s="168"/>
      <c r="K181" s="168"/>
      <c r="L181" s="44"/>
      <c r="M181" s="44"/>
      <c r="N181" s="168"/>
    </row>
    <row r="182" spans="1:14" ht="17.25" customHeight="1" x14ac:dyDescent="0.25">
      <c r="A182" s="175" t="s">
        <v>106</v>
      </c>
      <c r="B182" s="175"/>
      <c r="C182" s="185" t="s">
        <v>62</v>
      </c>
      <c r="D182" s="186"/>
      <c r="E182" s="57">
        <v>0</v>
      </c>
      <c r="F182" s="174">
        <f>55226672/100000</f>
        <v>552.26671999999996</v>
      </c>
      <c r="G182" s="60">
        <v>0</v>
      </c>
      <c r="H182" s="49"/>
    </row>
    <row r="183" spans="1:14" ht="17.25" customHeight="1" x14ac:dyDescent="0.25">
      <c r="A183" s="175"/>
      <c r="B183" s="175"/>
      <c r="C183" s="185" t="s">
        <v>107</v>
      </c>
      <c r="D183" s="186"/>
      <c r="E183" s="57">
        <v>0</v>
      </c>
      <c r="F183" s="174">
        <f>60118538/100000</f>
        <v>601.18538000000001</v>
      </c>
      <c r="G183" s="60">
        <v>0</v>
      </c>
      <c r="H183" s="49"/>
      <c r="I183" s="58"/>
      <c r="J183" s="58"/>
    </row>
    <row r="184" spans="1:14" ht="17.25" customHeight="1" x14ac:dyDescent="0.25">
      <c r="A184" s="175"/>
      <c r="B184" s="175"/>
      <c r="C184" s="185" t="s">
        <v>108</v>
      </c>
      <c r="D184" s="186"/>
      <c r="E184" s="57">
        <v>0</v>
      </c>
      <c r="F184" s="47">
        <f>33633798/100000</f>
        <v>336.33798000000002</v>
      </c>
      <c r="G184" s="48">
        <v>33.76</v>
      </c>
      <c r="H184" s="49"/>
    </row>
    <row r="185" spans="1:14" ht="17.25" customHeight="1" x14ac:dyDescent="0.25">
      <c r="A185" s="175"/>
      <c r="B185" s="175"/>
      <c r="C185" s="185" t="s">
        <v>241</v>
      </c>
      <c r="D185" s="186"/>
      <c r="E185" s="57">
        <v>0</v>
      </c>
      <c r="F185" s="47">
        <f>3130614/100000</f>
        <v>31.306139999999999</v>
      </c>
      <c r="G185" s="48">
        <v>37.729999999999997</v>
      </c>
      <c r="H185" s="49"/>
    </row>
    <row r="186" spans="1:14" ht="17.25" customHeight="1" x14ac:dyDescent="0.25">
      <c r="A186" s="175"/>
      <c r="B186" s="175"/>
      <c r="C186" s="185" t="s">
        <v>242</v>
      </c>
      <c r="D186" s="186"/>
      <c r="E186" s="57">
        <v>0</v>
      </c>
      <c r="F186" s="47">
        <f>1810280/100000</f>
        <v>18.102799999999998</v>
      </c>
      <c r="G186" s="48">
        <v>0</v>
      </c>
      <c r="H186" s="49"/>
    </row>
    <row r="187" spans="1:14" ht="17.25" customHeight="1" x14ac:dyDescent="0.25">
      <c r="A187" s="175"/>
      <c r="B187" s="175"/>
      <c r="C187" s="182" t="s">
        <v>429</v>
      </c>
      <c r="D187" s="183"/>
      <c r="E187" s="57">
        <v>0</v>
      </c>
      <c r="F187" s="47">
        <v>0</v>
      </c>
      <c r="G187" s="48">
        <v>41</v>
      </c>
      <c r="H187" s="49"/>
    </row>
    <row r="188" spans="1:14" ht="20.25" customHeight="1" x14ac:dyDescent="0.25">
      <c r="A188" s="196" t="s">
        <v>109</v>
      </c>
      <c r="B188" s="186"/>
      <c r="C188" s="185" t="s">
        <v>62</v>
      </c>
      <c r="D188" s="186"/>
      <c r="E188" s="57">
        <v>0</v>
      </c>
      <c r="F188" s="83">
        <f>9746320/100000</f>
        <v>97.463200000000001</v>
      </c>
      <c r="G188" s="48">
        <v>0</v>
      </c>
      <c r="H188" s="49"/>
      <c r="I188" s="58"/>
      <c r="J188" s="58"/>
    </row>
    <row r="189" spans="1:14" ht="16.5" customHeight="1" x14ac:dyDescent="0.25">
      <c r="A189" s="175" t="s">
        <v>110</v>
      </c>
      <c r="B189" s="175"/>
      <c r="C189" s="185" t="s">
        <v>62</v>
      </c>
      <c r="D189" s="186"/>
      <c r="E189" s="57">
        <v>0</v>
      </c>
      <c r="F189" s="83">
        <f>1000000/100000</f>
        <v>10</v>
      </c>
      <c r="G189" s="48">
        <v>0</v>
      </c>
      <c r="H189" s="49"/>
      <c r="I189" s="52"/>
    </row>
    <row r="190" spans="1:14" ht="16.5" customHeight="1" x14ac:dyDescent="0.25">
      <c r="A190" s="175"/>
      <c r="B190" s="175"/>
      <c r="C190" s="185" t="s">
        <v>111</v>
      </c>
      <c r="D190" s="186"/>
      <c r="E190" s="57">
        <v>0</v>
      </c>
      <c r="F190" s="83">
        <f>30900000/100000</f>
        <v>309</v>
      </c>
      <c r="G190" s="48">
        <v>507.67</v>
      </c>
      <c r="H190" s="49"/>
    </row>
    <row r="191" spans="1:14" ht="16.5" customHeight="1" x14ac:dyDescent="0.25">
      <c r="A191" s="175"/>
      <c r="B191" s="175"/>
      <c r="C191" s="185" t="s">
        <v>112</v>
      </c>
      <c r="D191" s="186"/>
      <c r="E191" s="57">
        <v>0</v>
      </c>
      <c r="F191" s="83">
        <f>280000/100000</f>
        <v>2.8</v>
      </c>
      <c r="G191" s="48">
        <v>0</v>
      </c>
      <c r="H191" s="49"/>
    </row>
    <row r="192" spans="1:14" ht="16.5" customHeight="1" x14ac:dyDescent="0.25">
      <c r="A192" s="175"/>
      <c r="B192" s="175"/>
      <c r="C192" s="185" t="s">
        <v>113</v>
      </c>
      <c r="D192" s="186"/>
      <c r="E192" s="57">
        <v>0</v>
      </c>
      <c r="F192" s="83">
        <f>20000000/100000</f>
        <v>200</v>
      </c>
      <c r="G192" s="48">
        <v>300</v>
      </c>
      <c r="H192" s="49"/>
    </row>
    <row r="193" spans="1:14" ht="16.5" customHeight="1" x14ac:dyDescent="0.25">
      <c r="A193" s="175"/>
      <c r="B193" s="175"/>
      <c r="C193" s="185" t="s">
        <v>108</v>
      </c>
      <c r="D193" s="186"/>
      <c r="E193" s="57">
        <v>0</v>
      </c>
      <c r="F193" s="83">
        <f>500000/100000</f>
        <v>5</v>
      </c>
      <c r="G193" s="48">
        <v>1.07</v>
      </c>
      <c r="H193" s="49"/>
    </row>
    <row r="194" spans="1:14" ht="16.5" customHeight="1" x14ac:dyDescent="0.25">
      <c r="A194" s="175"/>
      <c r="B194" s="175"/>
      <c r="C194" s="185" t="s">
        <v>473</v>
      </c>
      <c r="D194" s="186"/>
      <c r="E194" s="57">
        <v>0</v>
      </c>
      <c r="F194" s="83">
        <f>16510000/100000</f>
        <v>165.1</v>
      </c>
      <c r="G194" s="48">
        <v>116</v>
      </c>
      <c r="H194" s="49"/>
    </row>
    <row r="195" spans="1:14" ht="16.5" customHeight="1" x14ac:dyDescent="0.25">
      <c r="A195" s="175"/>
      <c r="B195" s="175"/>
      <c r="C195" s="185" t="s">
        <v>114</v>
      </c>
      <c r="D195" s="186"/>
      <c r="E195" s="57">
        <v>0</v>
      </c>
      <c r="F195" s="83">
        <f>8632000/100000</f>
        <v>86.32</v>
      </c>
      <c r="G195" s="90">
        <v>124</v>
      </c>
      <c r="H195" s="91"/>
    </row>
    <row r="196" spans="1:14" ht="16.5" customHeight="1" x14ac:dyDescent="0.25">
      <c r="A196" s="175"/>
      <c r="B196" s="175"/>
      <c r="C196" s="185" t="s">
        <v>56</v>
      </c>
      <c r="D196" s="186"/>
      <c r="E196" s="57">
        <v>0</v>
      </c>
      <c r="F196" s="83">
        <f>18123252/100000</f>
        <v>181.23251999999999</v>
      </c>
      <c r="G196" s="92">
        <v>0</v>
      </c>
      <c r="H196" s="91"/>
    </row>
    <row r="197" spans="1:14" ht="16.5" customHeight="1" x14ac:dyDescent="0.25">
      <c r="A197" s="175"/>
      <c r="B197" s="175"/>
      <c r="C197" s="185" t="s">
        <v>250</v>
      </c>
      <c r="D197" s="186"/>
      <c r="E197" s="57">
        <v>0</v>
      </c>
      <c r="F197" s="83">
        <f>259363/100000</f>
        <v>2.5936300000000001</v>
      </c>
      <c r="G197" s="92">
        <v>0</v>
      </c>
      <c r="H197" s="91"/>
      <c r="I197" s="58"/>
      <c r="J197" s="58"/>
    </row>
    <row r="198" spans="1:14" ht="21.75" customHeight="1" x14ac:dyDescent="0.25">
      <c r="A198" s="175" t="s">
        <v>110</v>
      </c>
      <c r="B198" s="175"/>
      <c r="C198" s="185" t="s">
        <v>251</v>
      </c>
      <c r="D198" s="186"/>
      <c r="E198" s="38">
        <v>0</v>
      </c>
      <c r="F198" s="83">
        <f>10720000/100000</f>
        <v>107.2</v>
      </c>
      <c r="G198" s="92">
        <v>300.88</v>
      </c>
      <c r="H198" s="91"/>
    </row>
    <row r="199" spans="1:14" ht="33.75" customHeight="1" x14ac:dyDescent="0.25">
      <c r="A199" s="175"/>
      <c r="B199" s="175"/>
      <c r="C199" s="193" t="s">
        <v>252</v>
      </c>
      <c r="D199" s="194"/>
      <c r="E199" s="57">
        <v>0</v>
      </c>
      <c r="F199" s="93">
        <f>25936000/100000</f>
        <v>259.36</v>
      </c>
      <c r="G199" s="60">
        <v>168.66</v>
      </c>
      <c r="H199" s="61"/>
    </row>
    <row r="200" spans="1:14" ht="18" customHeight="1" x14ac:dyDescent="0.25">
      <c r="A200" s="175"/>
      <c r="B200" s="175"/>
      <c r="C200" s="185" t="s">
        <v>115</v>
      </c>
      <c r="D200" s="186"/>
      <c r="E200" s="38">
        <v>0</v>
      </c>
      <c r="F200" s="83">
        <f>2478713/100000</f>
        <v>24.787130000000001</v>
      </c>
      <c r="G200" s="48">
        <v>0</v>
      </c>
      <c r="H200" s="49"/>
    </row>
    <row r="201" spans="1:14" ht="25.5" customHeight="1" x14ac:dyDescent="0.25">
      <c r="A201" s="175"/>
      <c r="B201" s="175"/>
      <c r="C201" s="185" t="s">
        <v>249</v>
      </c>
      <c r="D201" s="186"/>
      <c r="E201" s="38">
        <v>0</v>
      </c>
      <c r="F201" s="83">
        <f>12942000/100000</f>
        <v>129.41999999999999</v>
      </c>
      <c r="G201" s="48">
        <v>0</v>
      </c>
      <c r="H201" s="49">
        <f>E182+E183+E184+E185+E186+E187+E188+E189+E190+E191+E192+E193+E194+E195+E196+E197+E198+E199+E200+E201</f>
        <v>0</v>
      </c>
      <c r="I201" s="52">
        <f>F182+F183+F184+F185+F186+F187+F188+F189+F190+F191+F192+F193+F194+F195+F196+F197+F198+F199+F200+F201</f>
        <v>3119.4754999999996</v>
      </c>
      <c r="J201" s="58">
        <f>G182++G183+G184+G185+G186+G187+G188+G189+G190+G191+G192+G193+G194+G195+G196+G197+G198+G199+G200+G201</f>
        <v>1630.7700000000002</v>
      </c>
    </row>
    <row r="202" spans="1:14" ht="30" customHeight="1" x14ac:dyDescent="0.25">
      <c r="A202" s="187" t="s">
        <v>678</v>
      </c>
      <c r="B202" s="187"/>
      <c r="C202" s="187"/>
      <c r="D202" s="187"/>
      <c r="E202" s="187"/>
      <c r="F202" s="187"/>
      <c r="G202" s="187"/>
      <c r="H202" s="166"/>
      <c r="I202" s="42"/>
      <c r="J202" s="42"/>
      <c r="K202" s="42"/>
      <c r="L202" s="42"/>
      <c r="M202" s="42"/>
      <c r="N202" s="42"/>
    </row>
    <row r="203" spans="1:14" x14ac:dyDescent="0.25">
      <c r="A203" s="187" t="s">
        <v>53</v>
      </c>
      <c r="B203" s="187"/>
      <c r="C203" s="187"/>
      <c r="D203" s="187"/>
      <c r="E203" s="187"/>
      <c r="F203" s="187"/>
      <c r="G203" s="187"/>
      <c r="H203" s="166"/>
      <c r="I203" s="42"/>
      <c r="J203" s="42"/>
      <c r="K203" s="42"/>
      <c r="L203" s="42"/>
    </row>
    <row r="204" spans="1:14" x14ac:dyDescent="0.25">
      <c r="A204" s="188" t="s">
        <v>54</v>
      </c>
      <c r="B204" s="188"/>
      <c r="C204" s="188"/>
      <c r="D204" s="188"/>
      <c r="E204" s="188"/>
      <c r="F204" s="188"/>
      <c r="G204" s="188"/>
      <c r="H204" s="168"/>
      <c r="I204" s="44"/>
      <c r="J204" s="44"/>
      <c r="K204" s="44"/>
      <c r="L204" s="44"/>
    </row>
    <row r="205" spans="1:14" x14ac:dyDescent="0.25">
      <c r="A205" s="44"/>
      <c r="B205" s="44"/>
      <c r="C205" s="44"/>
      <c r="D205" s="44"/>
      <c r="E205" s="44"/>
      <c r="G205" s="44"/>
      <c r="H205" s="44"/>
      <c r="I205" s="168"/>
      <c r="J205" s="168"/>
      <c r="K205" s="168"/>
      <c r="L205" s="168"/>
    </row>
    <row r="206" spans="1:14" x14ac:dyDescent="0.25">
      <c r="A206" s="189" t="s">
        <v>244</v>
      </c>
      <c r="B206" s="178"/>
      <c r="C206" s="190" t="s">
        <v>72</v>
      </c>
      <c r="D206" s="190"/>
      <c r="E206" s="190"/>
      <c r="F206" s="190"/>
      <c r="G206" s="191"/>
      <c r="H206" s="173"/>
      <c r="I206" s="168"/>
      <c r="J206" s="168"/>
      <c r="K206" s="168"/>
      <c r="L206" s="44"/>
      <c r="M206" s="44"/>
      <c r="N206" s="168"/>
    </row>
    <row r="207" spans="1:14" x14ac:dyDescent="0.25">
      <c r="A207" s="176" t="s">
        <v>70</v>
      </c>
      <c r="B207" s="177"/>
      <c r="C207" s="176" t="s">
        <v>51</v>
      </c>
      <c r="D207" s="184"/>
      <c r="E207" s="178" t="s">
        <v>99</v>
      </c>
      <c r="F207" s="178"/>
      <c r="G207" s="179"/>
      <c r="H207" s="166"/>
      <c r="I207" s="168"/>
      <c r="J207" s="168"/>
      <c r="K207" s="168"/>
      <c r="L207" s="44"/>
      <c r="M207" s="44"/>
      <c r="N207" s="168"/>
    </row>
    <row r="208" spans="1:14" x14ac:dyDescent="0.25">
      <c r="A208" s="180"/>
      <c r="B208" s="181"/>
      <c r="C208" s="180"/>
      <c r="D208" s="181"/>
      <c r="E208" s="164" t="s">
        <v>597</v>
      </c>
      <c r="F208" s="165" t="s">
        <v>57</v>
      </c>
      <c r="G208" s="165" t="s">
        <v>55</v>
      </c>
      <c r="H208" s="166"/>
      <c r="I208" s="168"/>
      <c r="J208" s="168"/>
      <c r="K208" s="168"/>
      <c r="L208" s="44"/>
      <c r="M208" s="44"/>
      <c r="N208" s="168"/>
    </row>
    <row r="209" spans="1:10" ht="36.75" customHeight="1" x14ac:dyDescent="0.25">
      <c r="A209" s="175" t="s">
        <v>110</v>
      </c>
      <c r="B209" s="175"/>
      <c r="C209" s="193" t="s">
        <v>248</v>
      </c>
      <c r="D209" s="194"/>
      <c r="E209" s="57">
        <v>0</v>
      </c>
      <c r="F209" s="93">
        <f>114000000/100000</f>
        <v>1140</v>
      </c>
      <c r="G209" s="60">
        <v>0</v>
      </c>
      <c r="H209" s="49"/>
    </row>
    <row r="210" spans="1:10" ht="22.5" customHeight="1" x14ac:dyDescent="0.25">
      <c r="A210" s="175"/>
      <c r="B210" s="175"/>
      <c r="C210" s="185" t="s">
        <v>247</v>
      </c>
      <c r="D210" s="186"/>
      <c r="E210" s="38">
        <v>0</v>
      </c>
      <c r="F210" s="83">
        <f>750000/100000</f>
        <v>7.5</v>
      </c>
      <c r="G210" s="48">
        <v>0</v>
      </c>
      <c r="H210" s="49"/>
    </row>
    <row r="211" spans="1:10" ht="21" customHeight="1" x14ac:dyDescent="0.25">
      <c r="A211" s="175"/>
      <c r="B211" s="175"/>
      <c r="C211" s="185" t="s">
        <v>116</v>
      </c>
      <c r="D211" s="186"/>
      <c r="E211" s="38">
        <v>0</v>
      </c>
      <c r="F211" s="83">
        <f>28495200/100000</f>
        <v>284.952</v>
      </c>
      <c r="G211" s="48">
        <v>382.52</v>
      </c>
      <c r="H211" s="49"/>
    </row>
    <row r="212" spans="1:10" ht="20.25" customHeight="1" x14ac:dyDescent="0.25">
      <c r="A212" s="175"/>
      <c r="B212" s="175"/>
      <c r="C212" s="182" t="s">
        <v>430</v>
      </c>
      <c r="D212" s="183"/>
      <c r="E212" s="38">
        <v>0</v>
      </c>
      <c r="F212" s="47">
        <v>0</v>
      </c>
      <c r="G212" s="48">
        <v>237.73</v>
      </c>
      <c r="H212" s="49"/>
    </row>
    <row r="213" spans="1:10" ht="17.25" customHeight="1" x14ac:dyDescent="0.25">
      <c r="A213" s="175"/>
      <c r="B213" s="175"/>
      <c r="C213" s="182" t="s">
        <v>169</v>
      </c>
      <c r="D213" s="183"/>
      <c r="E213" s="38">
        <v>0</v>
      </c>
      <c r="F213" s="47">
        <v>0</v>
      </c>
      <c r="G213" s="48">
        <v>2.4</v>
      </c>
      <c r="H213" s="49"/>
    </row>
    <row r="214" spans="1:10" ht="17.25" customHeight="1" x14ac:dyDescent="0.25">
      <c r="A214" s="175"/>
      <c r="B214" s="175"/>
      <c r="C214" s="182" t="s">
        <v>431</v>
      </c>
      <c r="D214" s="183"/>
      <c r="E214" s="38">
        <v>0</v>
      </c>
      <c r="F214" s="47">
        <v>0</v>
      </c>
      <c r="G214" s="48">
        <v>357.91</v>
      </c>
      <c r="H214" s="49"/>
    </row>
    <row r="215" spans="1:10" ht="17.25" customHeight="1" x14ac:dyDescent="0.25">
      <c r="A215" s="175"/>
      <c r="B215" s="175"/>
      <c r="C215" s="182" t="s">
        <v>432</v>
      </c>
      <c r="D215" s="183"/>
      <c r="E215" s="38">
        <v>0</v>
      </c>
      <c r="F215" s="47">
        <v>0</v>
      </c>
      <c r="G215" s="48">
        <v>5</v>
      </c>
      <c r="H215" s="49"/>
    </row>
    <row r="216" spans="1:10" ht="21" customHeight="1" x14ac:dyDescent="0.25">
      <c r="A216" s="175"/>
      <c r="B216" s="175"/>
      <c r="C216" s="182" t="s">
        <v>433</v>
      </c>
      <c r="D216" s="183"/>
      <c r="E216" s="38">
        <v>0</v>
      </c>
      <c r="F216" s="47">
        <v>0</v>
      </c>
      <c r="G216" s="48">
        <v>7</v>
      </c>
      <c r="H216" s="49"/>
      <c r="I216" s="58"/>
      <c r="J216" s="58"/>
    </row>
    <row r="217" spans="1:10" ht="19.5" customHeight="1" x14ac:dyDescent="0.25">
      <c r="A217" s="175"/>
      <c r="B217" s="175"/>
      <c r="C217" s="182" t="s">
        <v>434</v>
      </c>
      <c r="D217" s="183"/>
      <c r="E217" s="38">
        <v>0</v>
      </c>
      <c r="F217" s="47">
        <v>0</v>
      </c>
      <c r="G217" s="48">
        <v>2.65</v>
      </c>
      <c r="H217" s="49"/>
    </row>
    <row r="218" spans="1:10" ht="18.75" customHeight="1" x14ac:dyDescent="0.25">
      <c r="A218" s="175"/>
      <c r="B218" s="175"/>
      <c r="C218" s="185" t="s">
        <v>435</v>
      </c>
      <c r="D218" s="185"/>
      <c r="E218" s="38">
        <v>0</v>
      </c>
      <c r="F218" s="47">
        <v>0</v>
      </c>
      <c r="G218" s="48">
        <v>121.2</v>
      </c>
      <c r="H218" s="49"/>
    </row>
    <row r="219" spans="1:10" ht="19.5" customHeight="1" x14ac:dyDescent="0.25">
      <c r="A219" s="175"/>
      <c r="B219" s="175"/>
      <c r="C219" s="185" t="s">
        <v>436</v>
      </c>
      <c r="D219" s="185"/>
      <c r="E219" s="38">
        <v>0</v>
      </c>
      <c r="F219" s="47">
        <v>0</v>
      </c>
      <c r="G219" s="48">
        <v>500</v>
      </c>
      <c r="H219" s="49"/>
    </row>
    <row r="220" spans="1:10" ht="34.5" customHeight="1" x14ac:dyDescent="0.25">
      <c r="A220" s="193" t="s">
        <v>117</v>
      </c>
      <c r="B220" s="194"/>
      <c r="C220" s="175" t="s">
        <v>108</v>
      </c>
      <c r="D220" s="211"/>
      <c r="E220" s="57">
        <v>0</v>
      </c>
      <c r="F220" s="93">
        <f>2527600/100000</f>
        <v>25.276</v>
      </c>
      <c r="G220" s="60">
        <v>7.9</v>
      </c>
      <c r="H220" s="49"/>
      <c r="I220" s="58"/>
      <c r="J220" s="58"/>
    </row>
    <row r="221" spans="1:10" ht="20.25" customHeight="1" x14ac:dyDescent="0.25">
      <c r="A221" s="175" t="s">
        <v>245</v>
      </c>
      <c r="B221" s="175"/>
      <c r="C221" s="185" t="s">
        <v>118</v>
      </c>
      <c r="D221" s="186"/>
      <c r="E221" s="38">
        <v>0</v>
      </c>
      <c r="F221" s="83">
        <f>27250/100000</f>
        <v>0.27250000000000002</v>
      </c>
      <c r="G221" s="48">
        <v>0</v>
      </c>
      <c r="H221" s="49"/>
    </row>
    <row r="222" spans="1:10" ht="20.25" customHeight="1" x14ac:dyDescent="0.25">
      <c r="A222" s="175"/>
      <c r="B222" s="175"/>
      <c r="C222" s="185" t="s">
        <v>119</v>
      </c>
      <c r="D222" s="186"/>
      <c r="E222" s="167">
        <v>48.45</v>
      </c>
      <c r="F222" s="83">
        <f>5250000/100000</f>
        <v>52.5</v>
      </c>
      <c r="G222" s="48">
        <v>29.6</v>
      </c>
      <c r="H222" s="49"/>
      <c r="I222" s="75"/>
      <c r="J222" s="39"/>
    </row>
    <row r="223" spans="1:10" ht="24" customHeight="1" x14ac:dyDescent="0.25">
      <c r="A223" s="175"/>
      <c r="B223" s="175"/>
      <c r="C223" s="185" t="s">
        <v>246</v>
      </c>
      <c r="D223" s="186"/>
      <c r="E223" s="38">
        <v>6.9</v>
      </c>
      <c r="F223" s="83">
        <f>3250000/100000</f>
        <v>32.5</v>
      </c>
      <c r="G223" s="48">
        <v>30.55</v>
      </c>
      <c r="H223" s="49"/>
      <c r="I223" s="75">
        <f>F209+F210+F211+F212+F213+F214+F215+F216+F217+F218+F219+F220+F221+F222+F223</f>
        <v>1543.0005000000001</v>
      </c>
      <c r="J223" s="58">
        <f>G209+G210+G211+G212+G213+G214+G215+G216+G217+G218+G219+G220+G221+G222+G223</f>
        <v>1684.4599999999998</v>
      </c>
    </row>
    <row r="224" spans="1:10" ht="33.75" customHeight="1" x14ac:dyDescent="0.25">
      <c r="A224" s="193" t="s">
        <v>121</v>
      </c>
      <c r="B224" s="194"/>
      <c r="C224" s="213" t="s">
        <v>0</v>
      </c>
      <c r="D224" s="237"/>
      <c r="E224" s="172">
        <v>394.54</v>
      </c>
      <c r="F224" s="93">
        <f>4664000/100000</f>
        <v>46.64</v>
      </c>
      <c r="G224" s="60">
        <v>160.41</v>
      </c>
      <c r="H224" s="61">
        <f>E222+E223+E224</f>
        <v>449.89000000000004</v>
      </c>
    </row>
    <row r="225" spans="1:14" ht="31.5" customHeight="1" x14ac:dyDescent="0.25">
      <c r="A225" s="187" t="s">
        <v>678</v>
      </c>
      <c r="B225" s="187"/>
      <c r="C225" s="187"/>
      <c r="D225" s="187"/>
      <c r="E225" s="187"/>
      <c r="F225" s="187"/>
      <c r="G225" s="187"/>
      <c r="H225" s="166"/>
      <c r="I225" s="42"/>
      <c r="J225" s="42"/>
      <c r="K225" s="42"/>
      <c r="L225" s="42"/>
      <c r="M225" s="42"/>
      <c r="N225" s="42"/>
    </row>
    <row r="226" spans="1:14" x14ac:dyDescent="0.25">
      <c r="A226" s="187" t="s">
        <v>53</v>
      </c>
      <c r="B226" s="187"/>
      <c r="C226" s="187"/>
      <c r="D226" s="187"/>
      <c r="E226" s="187"/>
      <c r="F226" s="187"/>
      <c r="G226" s="187"/>
      <c r="H226" s="166"/>
      <c r="I226" s="42"/>
      <c r="J226" s="42"/>
      <c r="K226" s="42"/>
      <c r="L226" s="42"/>
    </row>
    <row r="227" spans="1:14" x14ac:dyDescent="0.25">
      <c r="A227" s="188" t="s">
        <v>54</v>
      </c>
      <c r="B227" s="188"/>
      <c r="C227" s="188"/>
      <c r="D227" s="188"/>
      <c r="E227" s="188"/>
      <c r="F227" s="188"/>
      <c r="G227" s="188"/>
      <c r="H227" s="168"/>
      <c r="I227" s="44"/>
      <c r="J227" s="44"/>
      <c r="K227" s="44"/>
      <c r="L227" s="44"/>
    </row>
    <row r="228" spans="1:14" x14ac:dyDescent="0.25">
      <c r="A228" s="44"/>
      <c r="B228" s="44"/>
      <c r="C228" s="44"/>
      <c r="D228" s="44"/>
      <c r="E228" s="44"/>
      <c r="G228" s="44"/>
      <c r="H228" s="44"/>
      <c r="I228" s="168"/>
      <c r="J228" s="168"/>
      <c r="K228" s="168"/>
      <c r="L228" s="168"/>
    </row>
    <row r="229" spans="1:14" x14ac:dyDescent="0.25">
      <c r="A229" s="189" t="s">
        <v>244</v>
      </c>
      <c r="B229" s="178"/>
      <c r="C229" s="190" t="s">
        <v>72</v>
      </c>
      <c r="D229" s="190"/>
      <c r="E229" s="190"/>
      <c r="F229" s="190"/>
      <c r="G229" s="191"/>
      <c r="H229" s="173"/>
      <c r="I229" s="168"/>
      <c r="J229" s="168"/>
      <c r="K229" s="168"/>
      <c r="L229" s="44"/>
      <c r="M229" s="44"/>
      <c r="N229" s="168"/>
    </row>
    <row r="230" spans="1:14" x14ac:dyDescent="0.25">
      <c r="A230" s="176" t="s">
        <v>70</v>
      </c>
      <c r="B230" s="177"/>
      <c r="C230" s="176" t="s">
        <v>51</v>
      </c>
      <c r="D230" s="184"/>
      <c r="E230" s="178" t="s">
        <v>99</v>
      </c>
      <c r="F230" s="178"/>
      <c r="G230" s="179"/>
      <c r="H230" s="166"/>
      <c r="I230" s="168"/>
      <c r="J230" s="168"/>
      <c r="K230" s="168"/>
      <c r="L230" s="44"/>
      <c r="M230" s="44"/>
      <c r="N230" s="168"/>
    </row>
    <row r="231" spans="1:14" x14ac:dyDescent="0.25">
      <c r="A231" s="180"/>
      <c r="B231" s="181"/>
      <c r="C231" s="180"/>
      <c r="D231" s="181"/>
      <c r="E231" s="164" t="s">
        <v>597</v>
      </c>
      <c r="F231" s="165" t="s">
        <v>57</v>
      </c>
      <c r="G231" s="165" t="s">
        <v>55</v>
      </c>
      <c r="H231" s="166"/>
      <c r="I231" s="168"/>
      <c r="J231" s="168"/>
      <c r="K231" s="168"/>
      <c r="L231" s="44"/>
      <c r="M231" s="44"/>
      <c r="N231" s="168"/>
    </row>
    <row r="232" spans="1:14" ht="32.25" customHeight="1" x14ac:dyDescent="0.25">
      <c r="A232" s="175" t="s">
        <v>124</v>
      </c>
      <c r="B232" s="175"/>
      <c r="C232" s="193" t="s">
        <v>253</v>
      </c>
      <c r="D232" s="194"/>
      <c r="E232" s="57">
        <v>0</v>
      </c>
      <c r="F232" s="93">
        <f>49563/100000</f>
        <v>0.49563000000000001</v>
      </c>
      <c r="G232" s="60">
        <v>3.82</v>
      </c>
      <c r="H232" s="49"/>
      <c r="I232" s="89"/>
      <c r="J232" s="58"/>
    </row>
    <row r="233" spans="1:14" ht="18" customHeight="1" x14ac:dyDescent="0.25">
      <c r="A233" s="175"/>
      <c r="B233" s="175"/>
      <c r="C233" s="182" t="s">
        <v>438</v>
      </c>
      <c r="D233" s="183"/>
      <c r="E233" s="94">
        <v>226.61</v>
      </c>
      <c r="F233" s="83">
        <v>0</v>
      </c>
      <c r="G233" s="48">
        <v>0</v>
      </c>
      <c r="H233" s="49"/>
      <c r="I233" s="95">
        <f>0.12/2</f>
        <v>0.06</v>
      </c>
    </row>
    <row r="234" spans="1:14" ht="35.25" customHeight="1" x14ac:dyDescent="0.25">
      <c r="A234" s="221" t="s">
        <v>474</v>
      </c>
      <c r="B234" s="222"/>
      <c r="C234" s="213" t="s">
        <v>475</v>
      </c>
      <c r="D234" s="223"/>
      <c r="E234" s="79">
        <v>0</v>
      </c>
      <c r="F234" s="93">
        <v>0</v>
      </c>
      <c r="G234" s="60">
        <v>5</v>
      </c>
      <c r="H234" s="61"/>
      <c r="I234" s="43">
        <f>33684000+5770000</f>
        <v>39454000</v>
      </c>
    </row>
    <row r="235" spans="1:14" ht="17.25" customHeight="1" x14ac:dyDescent="0.25">
      <c r="A235" s="196" t="s">
        <v>120</v>
      </c>
      <c r="B235" s="186"/>
      <c r="C235" s="185" t="s">
        <v>437</v>
      </c>
      <c r="D235" s="186"/>
      <c r="E235" s="79">
        <v>0</v>
      </c>
      <c r="F235" s="83">
        <f>225000/100000</f>
        <v>2.25</v>
      </c>
      <c r="G235" s="48">
        <v>0</v>
      </c>
      <c r="H235" s="49"/>
    </row>
    <row r="236" spans="1:14" ht="18.75" customHeight="1" x14ac:dyDescent="0.25">
      <c r="A236" s="196" t="s">
        <v>122</v>
      </c>
      <c r="B236" s="186"/>
      <c r="C236" s="185" t="s">
        <v>123</v>
      </c>
      <c r="D236" s="186"/>
      <c r="E236" s="38">
        <v>0</v>
      </c>
      <c r="F236" s="83">
        <f>172700/100000</f>
        <v>1.7270000000000001</v>
      </c>
      <c r="G236" s="48">
        <v>0</v>
      </c>
      <c r="H236" s="49"/>
    </row>
    <row r="237" spans="1:14" ht="18" customHeight="1" x14ac:dyDescent="0.25">
      <c r="A237" s="175" t="s">
        <v>125</v>
      </c>
      <c r="B237" s="175"/>
      <c r="C237" s="185" t="s">
        <v>126</v>
      </c>
      <c r="D237" s="186"/>
      <c r="E237" s="167">
        <v>134.88</v>
      </c>
      <c r="F237" s="50">
        <f>2869903/100000</f>
        <v>28.69903</v>
      </c>
      <c r="G237" s="48">
        <v>37.89</v>
      </c>
      <c r="H237" s="49"/>
    </row>
    <row r="238" spans="1:14" ht="21" customHeight="1" x14ac:dyDescent="0.25">
      <c r="A238" s="175"/>
      <c r="B238" s="175"/>
      <c r="C238" s="185" t="s">
        <v>1</v>
      </c>
      <c r="D238" s="186"/>
      <c r="E238" s="38">
        <v>17.8</v>
      </c>
      <c r="F238" s="37">
        <f>2031755/100000</f>
        <v>20.317550000000001</v>
      </c>
      <c r="G238" s="60">
        <v>15.15</v>
      </c>
      <c r="H238" s="61"/>
    </row>
    <row r="239" spans="1:14" ht="21" customHeight="1" x14ac:dyDescent="0.25">
      <c r="A239" s="175"/>
      <c r="B239" s="175"/>
      <c r="C239" s="185" t="s">
        <v>439</v>
      </c>
      <c r="D239" s="185"/>
      <c r="E239" s="62">
        <v>69.83</v>
      </c>
      <c r="F239" s="37">
        <v>0</v>
      </c>
      <c r="G239" s="60">
        <v>9.5</v>
      </c>
      <c r="H239" s="61"/>
    </row>
    <row r="240" spans="1:14" ht="20.25" customHeight="1" x14ac:dyDescent="0.25">
      <c r="A240" s="175"/>
      <c r="B240" s="175"/>
      <c r="C240" s="185" t="s">
        <v>127</v>
      </c>
      <c r="D240" s="186"/>
      <c r="E240" s="38">
        <v>0</v>
      </c>
      <c r="F240" s="37">
        <f>12747911/100000</f>
        <v>127.47911000000001</v>
      </c>
      <c r="G240" s="60">
        <v>87.81</v>
      </c>
      <c r="H240" s="61"/>
    </row>
    <row r="241" spans="1:14" ht="34.5" customHeight="1" x14ac:dyDescent="0.25">
      <c r="A241" s="175"/>
      <c r="B241" s="175"/>
      <c r="C241" s="185" t="s">
        <v>254</v>
      </c>
      <c r="D241" s="186"/>
      <c r="E241" s="170">
        <v>34.94</v>
      </c>
      <c r="F241" s="37">
        <f>6429978/100000</f>
        <v>64.299779999999998</v>
      </c>
      <c r="G241" s="60">
        <v>0</v>
      </c>
      <c r="H241" s="61"/>
      <c r="I241" s="75"/>
      <c r="J241" s="58"/>
    </row>
    <row r="242" spans="1:14" ht="20.25" customHeight="1" x14ac:dyDescent="0.25">
      <c r="A242" s="175"/>
      <c r="B242" s="175"/>
      <c r="C242" s="185" t="s">
        <v>128</v>
      </c>
      <c r="D242" s="186"/>
      <c r="E242" s="167">
        <v>76.069999999999993</v>
      </c>
      <c r="F242" s="37">
        <f>3576675/100000</f>
        <v>35.766750000000002</v>
      </c>
      <c r="G242" s="60">
        <v>44.59</v>
      </c>
      <c r="H242" s="49"/>
    </row>
    <row r="243" spans="1:14" ht="18" customHeight="1" x14ac:dyDescent="0.25">
      <c r="A243" s="175"/>
      <c r="B243" s="175"/>
      <c r="C243" s="185" t="s">
        <v>129</v>
      </c>
      <c r="D243" s="186"/>
      <c r="E243" s="167">
        <v>29.08</v>
      </c>
      <c r="F243" s="50">
        <f>4340900/100000</f>
        <v>43.408999999999999</v>
      </c>
      <c r="G243" s="48">
        <v>0.93</v>
      </c>
      <c r="H243" s="49"/>
    </row>
    <row r="244" spans="1:14" ht="18" customHeight="1" x14ac:dyDescent="0.25">
      <c r="A244" s="175"/>
      <c r="B244" s="175"/>
      <c r="C244" s="185" t="s">
        <v>255</v>
      </c>
      <c r="D244" s="186"/>
      <c r="E244" s="167">
        <v>61.42</v>
      </c>
      <c r="F244" s="50">
        <f>5245299/100000</f>
        <v>52.45299</v>
      </c>
      <c r="G244" s="48">
        <v>88.83</v>
      </c>
      <c r="H244" s="49"/>
    </row>
    <row r="245" spans="1:14" ht="15" customHeight="1" x14ac:dyDescent="0.25">
      <c r="A245" s="175"/>
      <c r="B245" s="175"/>
      <c r="C245" s="185" t="s">
        <v>130</v>
      </c>
      <c r="D245" s="186"/>
      <c r="E245" s="167">
        <v>8.32</v>
      </c>
      <c r="F245" s="50">
        <f>2496150/100000</f>
        <v>24.961500000000001</v>
      </c>
      <c r="G245" s="48">
        <v>28.32</v>
      </c>
      <c r="H245" s="49"/>
      <c r="I245" s="75">
        <f>F224+F232+F233+F234+F235+F236+F237+F238+F239+F240+F241+F242+F243+F244+++++++F245</f>
        <v>448.49833999999998</v>
      </c>
      <c r="J245" s="58">
        <f>G224+G232+G233+G234+G235+G236+G237+G238+G239+G240+G241+G242+G243+G244+G245</f>
        <v>482.25000000000006</v>
      </c>
    </row>
    <row r="246" spans="1:14" ht="20.25" customHeight="1" x14ac:dyDescent="0.25">
      <c r="A246" s="175"/>
      <c r="B246" s="175"/>
      <c r="C246" s="182" t="s">
        <v>440</v>
      </c>
      <c r="D246" s="183"/>
      <c r="E246" s="94">
        <v>23.68</v>
      </c>
      <c r="F246" s="50">
        <v>0</v>
      </c>
      <c r="G246" s="48">
        <v>39.200000000000003</v>
      </c>
      <c r="H246" s="49"/>
    </row>
    <row r="247" spans="1:14" ht="21" customHeight="1" x14ac:dyDescent="0.25">
      <c r="A247" s="175"/>
      <c r="B247" s="175"/>
      <c r="C247" s="185" t="s">
        <v>131</v>
      </c>
      <c r="D247" s="186"/>
      <c r="E247" s="167">
        <v>26.26</v>
      </c>
      <c r="F247" s="50">
        <f>3722376/100000</f>
        <v>37.223759999999999</v>
      </c>
      <c r="G247" s="48">
        <v>0</v>
      </c>
      <c r="H247" s="49"/>
    </row>
    <row r="248" spans="1:14" ht="18" customHeight="1" x14ac:dyDescent="0.25">
      <c r="A248" s="175"/>
      <c r="B248" s="175"/>
      <c r="C248" s="185" t="s">
        <v>2</v>
      </c>
      <c r="D248" s="186"/>
      <c r="E248" s="167">
        <v>45.92</v>
      </c>
      <c r="F248" s="50">
        <f>388950/100000</f>
        <v>3.8895</v>
      </c>
      <c r="G248" s="48">
        <v>13.63</v>
      </c>
      <c r="H248" s="49">
        <f>E233+E237+E238+E239+E241+E242+E243+E244+E245+E246+E247+E248</f>
        <v>754.81</v>
      </c>
    </row>
    <row r="249" spans="1:14" ht="30.75" customHeight="1" x14ac:dyDescent="0.25">
      <c r="A249" s="187" t="s">
        <v>678</v>
      </c>
      <c r="B249" s="187"/>
      <c r="C249" s="187"/>
      <c r="D249" s="187"/>
      <c r="E249" s="187"/>
      <c r="F249" s="187"/>
      <c r="G249" s="187"/>
      <c r="H249" s="166"/>
      <c r="I249" s="42"/>
      <c r="J249" s="42"/>
      <c r="K249" s="42"/>
      <c r="L249" s="42"/>
      <c r="M249" s="42"/>
      <c r="N249" s="42"/>
    </row>
    <row r="250" spans="1:14" x14ac:dyDescent="0.25">
      <c r="A250" s="187" t="s">
        <v>53</v>
      </c>
      <c r="B250" s="187"/>
      <c r="C250" s="187"/>
      <c r="D250" s="187"/>
      <c r="E250" s="187"/>
      <c r="F250" s="187"/>
      <c r="G250" s="187"/>
      <c r="H250" s="166"/>
      <c r="I250" s="42"/>
      <c r="J250" s="42"/>
      <c r="K250" s="42"/>
      <c r="L250" s="42"/>
    </row>
    <row r="251" spans="1:14" x14ac:dyDescent="0.25">
      <c r="A251" s="188" t="s">
        <v>54</v>
      </c>
      <c r="B251" s="188"/>
      <c r="C251" s="188"/>
      <c r="D251" s="188"/>
      <c r="E251" s="188"/>
      <c r="F251" s="188"/>
      <c r="G251" s="188"/>
      <c r="H251" s="168"/>
      <c r="I251" s="44"/>
      <c r="J251" s="44"/>
      <c r="K251" s="44"/>
      <c r="L251" s="44"/>
    </row>
    <row r="252" spans="1:14" x14ac:dyDescent="0.25">
      <c r="A252" s="44"/>
      <c r="B252" s="44"/>
      <c r="C252" s="44"/>
      <c r="D252" s="44"/>
      <c r="E252" s="44"/>
      <c r="G252" s="44"/>
      <c r="H252" s="44"/>
      <c r="I252" s="168"/>
      <c r="J252" s="168"/>
      <c r="K252" s="168"/>
      <c r="L252" s="168"/>
    </row>
    <row r="253" spans="1:14" x14ac:dyDescent="0.25">
      <c r="A253" s="189" t="s">
        <v>244</v>
      </c>
      <c r="B253" s="178"/>
      <c r="C253" s="190" t="s">
        <v>72</v>
      </c>
      <c r="D253" s="190"/>
      <c r="E253" s="190"/>
      <c r="F253" s="190"/>
      <c r="G253" s="191"/>
      <c r="H253" s="173"/>
      <c r="I253" s="168"/>
      <c r="J253" s="168"/>
      <c r="K253" s="168"/>
      <c r="L253" s="44"/>
      <c r="M253" s="44"/>
      <c r="N253" s="168"/>
    </row>
    <row r="254" spans="1:14" x14ac:dyDescent="0.25">
      <c r="A254" s="176" t="s">
        <v>70</v>
      </c>
      <c r="B254" s="177"/>
      <c r="C254" s="176" t="s">
        <v>51</v>
      </c>
      <c r="D254" s="184"/>
      <c r="E254" s="178" t="s">
        <v>99</v>
      </c>
      <c r="F254" s="178"/>
      <c r="G254" s="179"/>
      <c r="H254" s="166"/>
      <c r="I254" s="168"/>
      <c r="J254" s="168"/>
      <c r="K254" s="168"/>
      <c r="L254" s="44"/>
      <c r="M254" s="44"/>
      <c r="N254" s="168"/>
    </row>
    <row r="255" spans="1:14" x14ac:dyDescent="0.25">
      <c r="A255" s="180"/>
      <c r="B255" s="181"/>
      <c r="C255" s="180"/>
      <c r="D255" s="181"/>
      <c r="E255" s="164" t="s">
        <v>597</v>
      </c>
      <c r="F255" s="165" t="s">
        <v>57</v>
      </c>
      <c r="G255" s="165" t="s">
        <v>55</v>
      </c>
      <c r="H255" s="166"/>
      <c r="I255" s="168"/>
      <c r="J255" s="168"/>
      <c r="K255" s="168"/>
      <c r="L255" s="44"/>
      <c r="M255" s="44"/>
      <c r="N255" s="168"/>
    </row>
    <row r="256" spans="1:14" ht="18" customHeight="1" x14ac:dyDescent="0.25">
      <c r="A256" s="175" t="s">
        <v>125</v>
      </c>
      <c r="B256" s="175"/>
      <c r="C256" s="182" t="s">
        <v>441</v>
      </c>
      <c r="D256" s="183"/>
      <c r="E256" s="94">
        <v>39.96</v>
      </c>
      <c r="F256" s="50">
        <v>0</v>
      </c>
      <c r="G256" s="48">
        <v>20.74</v>
      </c>
      <c r="H256" s="49"/>
    </row>
    <row r="257" spans="1:14" ht="19.5" customHeight="1" x14ac:dyDescent="0.25">
      <c r="A257" s="175"/>
      <c r="B257" s="175"/>
      <c r="C257" s="185" t="s">
        <v>596</v>
      </c>
      <c r="D257" s="186"/>
      <c r="E257" s="167">
        <v>34.24</v>
      </c>
      <c r="F257" s="50">
        <f>969422/100000</f>
        <v>9.6942199999999996</v>
      </c>
      <c r="G257" s="48">
        <v>34.549999999999997</v>
      </c>
      <c r="H257" s="49"/>
    </row>
    <row r="258" spans="1:14" ht="20.65" customHeight="1" x14ac:dyDescent="0.25">
      <c r="A258" s="175"/>
      <c r="B258" s="175"/>
      <c r="C258" s="185" t="s">
        <v>3</v>
      </c>
      <c r="D258" s="186"/>
      <c r="E258" s="167">
        <v>25.84</v>
      </c>
      <c r="F258" s="50">
        <f>4033260/100000</f>
        <v>40.332599999999999</v>
      </c>
      <c r="G258" s="48">
        <v>18.04</v>
      </c>
      <c r="H258" s="49"/>
    </row>
    <row r="259" spans="1:14" ht="21" customHeight="1" x14ac:dyDescent="0.25">
      <c r="A259" s="175"/>
      <c r="B259" s="175"/>
      <c r="C259" s="185" t="s">
        <v>132</v>
      </c>
      <c r="D259" s="186"/>
      <c r="E259" s="167">
        <v>142.46</v>
      </c>
      <c r="F259" s="50">
        <f>4655562/100000</f>
        <v>46.555619999999998</v>
      </c>
      <c r="G259" s="48">
        <v>91.88</v>
      </c>
      <c r="H259" s="49"/>
    </row>
    <row r="260" spans="1:14" ht="18" customHeight="1" x14ac:dyDescent="0.25">
      <c r="A260" s="175"/>
      <c r="B260" s="175"/>
      <c r="C260" s="185" t="s">
        <v>672</v>
      </c>
      <c r="D260" s="186"/>
      <c r="E260" s="167">
        <v>40.909999999999997</v>
      </c>
      <c r="F260" s="50">
        <f>2312150/100000</f>
        <v>23.121500000000001</v>
      </c>
      <c r="G260" s="48">
        <v>46.45</v>
      </c>
      <c r="H260" s="49"/>
    </row>
    <row r="261" spans="1:14" ht="21" customHeight="1" x14ac:dyDescent="0.25">
      <c r="A261" s="175"/>
      <c r="B261" s="175"/>
      <c r="C261" s="182" t="s">
        <v>442</v>
      </c>
      <c r="D261" s="183"/>
      <c r="E261" s="67">
        <v>22.7</v>
      </c>
      <c r="F261" s="50">
        <v>0</v>
      </c>
      <c r="G261" s="48">
        <v>13.62</v>
      </c>
      <c r="H261" s="49"/>
      <c r="I261" s="58"/>
      <c r="J261" s="58"/>
    </row>
    <row r="262" spans="1:14" ht="33.75" customHeight="1" x14ac:dyDescent="0.25">
      <c r="A262" s="175"/>
      <c r="B262" s="175"/>
      <c r="C262" s="185" t="s">
        <v>133</v>
      </c>
      <c r="D262" s="186"/>
      <c r="E262" s="57">
        <v>175.5</v>
      </c>
      <c r="F262" s="93">
        <f>18334263/100000</f>
        <v>183.34263000000001</v>
      </c>
      <c r="G262" s="60">
        <v>3.05</v>
      </c>
      <c r="H262" s="61"/>
    </row>
    <row r="263" spans="1:14" ht="21" customHeight="1" x14ac:dyDescent="0.25">
      <c r="A263" s="175"/>
      <c r="B263" s="175"/>
      <c r="C263" s="182" t="s">
        <v>443</v>
      </c>
      <c r="D263" s="183"/>
      <c r="E263" s="94">
        <v>6.47</v>
      </c>
      <c r="F263" s="93">
        <v>0</v>
      </c>
      <c r="G263" s="60">
        <v>2.06</v>
      </c>
      <c r="H263" s="61"/>
    </row>
    <row r="264" spans="1:14" ht="26.65" customHeight="1" x14ac:dyDescent="0.25">
      <c r="A264" s="212" t="s">
        <v>256</v>
      </c>
      <c r="B264" s="211"/>
      <c r="C264" s="185" t="s">
        <v>424</v>
      </c>
      <c r="D264" s="186"/>
      <c r="E264" s="170">
        <v>230.73</v>
      </c>
      <c r="F264" s="93">
        <f>24823000/100000</f>
        <v>248.23</v>
      </c>
      <c r="G264" s="60">
        <v>273.98</v>
      </c>
      <c r="H264" s="61"/>
    </row>
    <row r="265" spans="1:14" ht="37.5" customHeight="1" x14ac:dyDescent="0.25">
      <c r="A265" s="175" t="s">
        <v>136</v>
      </c>
      <c r="B265" s="175"/>
      <c r="C265" s="213" t="s">
        <v>257</v>
      </c>
      <c r="D265" s="214"/>
      <c r="E265" s="171">
        <v>5.12</v>
      </c>
      <c r="F265" s="174">
        <f>145800/100000</f>
        <v>1.458</v>
      </c>
      <c r="G265" s="96">
        <v>1.47</v>
      </c>
      <c r="H265" s="97"/>
    </row>
    <row r="266" spans="1:14" ht="37.5" customHeight="1" x14ac:dyDescent="0.25">
      <c r="A266" s="175"/>
      <c r="B266" s="175"/>
      <c r="C266" s="213" t="s">
        <v>611</v>
      </c>
      <c r="D266" s="223"/>
      <c r="E266" s="171">
        <v>0.15</v>
      </c>
      <c r="F266" s="174">
        <v>0</v>
      </c>
      <c r="G266" s="96">
        <v>0</v>
      </c>
      <c r="H266" s="97"/>
      <c r="I266" s="87"/>
      <c r="J266" s="56"/>
    </row>
    <row r="267" spans="1:14" ht="27.75" customHeight="1" x14ac:dyDescent="0.25">
      <c r="A267" s="238" t="s">
        <v>137</v>
      </c>
      <c r="B267" s="214"/>
      <c r="C267" s="213" t="s">
        <v>138</v>
      </c>
      <c r="D267" s="214"/>
      <c r="E267" s="98">
        <v>913</v>
      </c>
      <c r="F267" s="174">
        <f>35900000/100000</f>
        <v>359</v>
      </c>
      <c r="G267" s="96">
        <v>200</v>
      </c>
      <c r="H267" s="97"/>
      <c r="I267" s="87">
        <f>F246+F247+F248+F256+F257+F258+F259+F260+F261+F262+F263+F264+F265+F266+F267</f>
        <v>952.84782999999993</v>
      </c>
      <c r="J267" s="56">
        <f>G246+G247+G248+G256+G257+G258+G259+G260+G261+G262+G263+G264+G265+G266+G267</f>
        <v>758.67000000000007</v>
      </c>
    </row>
    <row r="268" spans="1:14" ht="36" customHeight="1" x14ac:dyDescent="0.25">
      <c r="A268" s="213" t="s">
        <v>612</v>
      </c>
      <c r="B268" s="223"/>
      <c r="C268" s="213" t="s">
        <v>613</v>
      </c>
      <c r="D268" s="223"/>
      <c r="E268" s="99">
        <v>147.15</v>
      </c>
      <c r="F268" s="174">
        <v>0</v>
      </c>
      <c r="G268" s="60">
        <v>0</v>
      </c>
      <c r="H268" s="61">
        <f>E256+E257+E258+E259+E260+E261+E262+E263+E264+E265+E266+E267+E268</f>
        <v>1784.23</v>
      </c>
    </row>
    <row r="269" spans="1:14" ht="31.5" customHeight="1" x14ac:dyDescent="0.25">
      <c r="A269" s="68"/>
      <c r="B269" s="68"/>
      <c r="C269" s="68"/>
      <c r="D269" s="68"/>
      <c r="E269" s="100"/>
      <c r="F269" s="101"/>
      <c r="G269" s="102"/>
      <c r="H269" s="61"/>
    </row>
    <row r="270" spans="1:14" ht="31.5" customHeight="1" x14ac:dyDescent="0.25">
      <c r="A270" s="187" t="s">
        <v>678</v>
      </c>
      <c r="B270" s="187"/>
      <c r="C270" s="187"/>
      <c r="D270" s="187"/>
      <c r="E270" s="187"/>
      <c r="F270" s="187"/>
      <c r="G270" s="187"/>
      <c r="H270" s="166"/>
      <c r="I270" s="42"/>
      <c r="J270" s="42"/>
      <c r="K270" s="42"/>
      <c r="L270" s="42"/>
      <c r="M270" s="42"/>
      <c r="N270" s="42"/>
    </row>
    <row r="271" spans="1:14" x14ac:dyDescent="0.25">
      <c r="A271" s="187" t="s">
        <v>53</v>
      </c>
      <c r="B271" s="187"/>
      <c r="C271" s="187"/>
      <c r="D271" s="187"/>
      <c r="E271" s="187"/>
      <c r="F271" s="187"/>
      <c r="G271" s="187"/>
      <c r="H271" s="166"/>
      <c r="I271" s="42"/>
      <c r="J271" s="42"/>
      <c r="K271" s="42"/>
      <c r="L271" s="42"/>
    </row>
    <row r="272" spans="1:14" x14ac:dyDescent="0.25">
      <c r="A272" s="188" t="s">
        <v>54</v>
      </c>
      <c r="B272" s="188"/>
      <c r="C272" s="188"/>
      <c r="D272" s="188"/>
      <c r="E272" s="188"/>
      <c r="F272" s="188"/>
      <c r="G272" s="188"/>
      <c r="H272" s="168"/>
      <c r="I272" s="44"/>
      <c r="J272" s="44"/>
      <c r="K272" s="44"/>
      <c r="L272" s="44"/>
    </row>
    <row r="273" spans="1:14" x14ac:dyDescent="0.25">
      <c r="A273" s="44"/>
      <c r="B273" s="44"/>
      <c r="C273" s="44"/>
      <c r="D273" s="44"/>
      <c r="E273" s="44"/>
      <c r="G273" s="44"/>
      <c r="H273" s="44"/>
      <c r="I273" s="168"/>
      <c r="J273" s="168"/>
      <c r="K273" s="168"/>
      <c r="L273" s="168"/>
    </row>
    <row r="274" spans="1:14" x14ac:dyDescent="0.25">
      <c r="A274" s="189" t="s">
        <v>244</v>
      </c>
      <c r="B274" s="178"/>
      <c r="C274" s="190" t="s">
        <v>72</v>
      </c>
      <c r="D274" s="190"/>
      <c r="E274" s="190"/>
      <c r="F274" s="190"/>
      <c r="G274" s="191"/>
      <c r="H274" s="173"/>
      <c r="I274" s="168"/>
      <c r="J274" s="168"/>
      <c r="K274" s="168"/>
      <c r="L274" s="44"/>
      <c r="M274" s="44"/>
      <c r="N274" s="168"/>
    </row>
    <row r="275" spans="1:14" x14ac:dyDescent="0.25">
      <c r="A275" s="176" t="s">
        <v>70</v>
      </c>
      <c r="B275" s="177"/>
      <c r="C275" s="176" t="s">
        <v>51</v>
      </c>
      <c r="D275" s="184"/>
      <c r="E275" s="178" t="s">
        <v>99</v>
      </c>
      <c r="F275" s="178"/>
      <c r="G275" s="179"/>
      <c r="H275" s="166"/>
      <c r="I275" s="168"/>
      <c r="J275" s="168"/>
      <c r="K275" s="168"/>
      <c r="L275" s="44"/>
      <c r="M275" s="44"/>
      <c r="N275" s="168"/>
    </row>
    <row r="276" spans="1:14" x14ac:dyDescent="0.25">
      <c r="A276" s="180"/>
      <c r="B276" s="181"/>
      <c r="C276" s="180"/>
      <c r="D276" s="181"/>
      <c r="E276" s="164" t="s">
        <v>597</v>
      </c>
      <c r="F276" s="165" t="s">
        <v>57</v>
      </c>
      <c r="G276" s="165" t="s">
        <v>55</v>
      </c>
      <c r="H276" s="166"/>
      <c r="I276" s="168"/>
      <c r="J276" s="168"/>
      <c r="K276" s="168"/>
      <c r="L276" s="44"/>
      <c r="M276" s="44"/>
      <c r="N276" s="168"/>
    </row>
    <row r="277" spans="1:14" ht="25.5" customHeight="1" x14ac:dyDescent="0.25">
      <c r="A277" s="175" t="s">
        <v>139</v>
      </c>
      <c r="B277" s="175"/>
      <c r="C277" s="185" t="s">
        <v>140</v>
      </c>
      <c r="D277" s="186"/>
      <c r="E277" s="57">
        <v>450</v>
      </c>
      <c r="F277" s="174">
        <f>45000000/100000</f>
        <v>450</v>
      </c>
      <c r="G277" s="96">
        <v>0</v>
      </c>
      <c r="H277" s="97"/>
    </row>
    <row r="278" spans="1:14" ht="20.25" customHeight="1" x14ac:dyDescent="0.25">
      <c r="A278" s="175"/>
      <c r="B278" s="175"/>
      <c r="C278" s="240" t="s">
        <v>103</v>
      </c>
      <c r="D278" s="241"/>
      <c r="E278" s="103">
        <v>250</v>
      </c>
      <c r="F278" s="174">
        <v>0</v>
      </c>
      <c r="G278" s="96">
        <v>0</v>
      </c>
      <c r="H278" s="104"/>
    </row>
    <row r="279" spans="1:14" ht="20.25" customHeight="1" x14ac:dyDescent="0.25">
      <c r="A279" s="175"/>
      <c r="B279" s="175"/>
      <c r="C279" s="185" t="s">
        <v>141</v>
      </c>
      <c r="D279" s="186"/>
      <c r="E279" s="57">
        <v>450</v>
      </c>
      <c r="F279" s="47">
        <f>25000000/100000</f>
        <v>250</v>
      </c>
      <c r="G279" s="105">
        <v>0</v>
      </c>
      <c r="H279" s="104"/>
    </row>
    <row r="280" spans="1:14" ht="20.25" customHeight="1" x14ac:dyDescent="0.25">
      <c r="A280" s="175"/>
      <c r="B280" s="175"/>
      <c r="C280" s="182" t="s">
        <v>426</v>
      </c>
      <c r="D280" s="183"/>
      <c r="E280" s="79">
        <v>450</v>
      </c>
      <c r="F280" s="174">
        <v>0</v>
      </c>
      <c r="G280" s="96">
        <v>0</v>
      </c>
      <c r="H280" s="104"/>
    </row>
    <row r="281" spans="1:14" ht="21" customHeight="1" x14ac:dyDescent="0.25">
      <c r="A281" s="175" t="s">
        <v>156</v>
      </c>
      <c r="B281" s="175"/>
      <c r="C281" s="185" t="s">
        <v>62</v>
      </c>
      <c r="D281" s="186"/>
      <c r="E281" s="38">
        <v>0</v>
      </c>
      <c r="F281" s="47">
        <f>2736932/100000</f>
        <v>27.369319999999998</v>
      </c>
      <c r="G281" s="48">
        <v>0</v>
      </c>
      <c r="H281" s="49"/>
    </row>
    <row r="282" spans="1:14" ht="21" customHeight="1" x14ac:dyDescent="0.25">
      <c r="A282" s="175"/>
      <c r="B282" s="175"/>
      <c r="C282" s="185" t="s">
        <v>108</v>
      </c>
      <c r="D282" s="186"/>
      <c r="E282" s="167">
        <v>51.09</v>
      </c>
      <c r="F282" s="47">
        <f>9396404/100000</f>
        <v>93.964039999999997</v>
      </c>
      <c r="G282" s="48">
        <v>114.13</v>
      </c>
      <c r="H282" s="49"/>
    </row>
    <row r="283" spans="1:14" ht="18" customHeight="1" x14ac:dyDescent="0.25">
      <c r="A283" s="175"/>
      <c r="B283" s="175"/>
      <c r="C283" s="185" t="s">
        <v>157</v>
      </c>
      <c r="D283" s="186"/>
      <c r="E283" s="167">
        <v>4.99</v>
      </c>
      <c r="F283" s="47">
        <f>13752000/100000</f>
        <v>137.52000000000001</v>
      </c>
      <c r="G283" s="48">
        <v>135.52000000000001</v>
      </c>
      <c r="H283" s="49"/>
    </row>
    <row r="284" spans="1:14" ht="23.25" customHeight="1" x14ac:dyDescent="0.25">
      <c r="A284" s="175"/>
      <c r="B284" s="175"/>
      <c r="C284" s="185" t="s">
        <v>158</v>
      </c>
      <c r="D284" s="186"/>
      <c r="E284" s="38">
        <v>0</v>
      </c>
      <c r="F284" s="47">
        <f>800000/100000</f>
        <v>8</v>
      </c>
      <c r="G284" s="48">
        <v>15.35</v>
      </c>
      <c r="H284" s="61"/>
      <c r="I284" s="56"/>
      <c r="J284" s="56"/>
    </row>
    <row r="285" spans="1:14" ht="18" customHeight="1" x14ac:dyDescent="0.25">
      <c r="A285" s="175"/>
      <c r="B285" s="175"/>
      <c r="C285" s="185" t="s">
        <v>123</v>
      </c>
      <c r="D285" s="186"/>
      <c r="E285" s="38">
        <v>0</v>
      </c>
      <c r="F285" s="47">
        <f>1328223/100000</f>
        <v>13.28223</v>
      </c>
      <c r="G285" s="48">
        <v>0</v>
      </c>
      <c r="H285" s="49"/>
    </row>
    <row r="286" spans="1:14" ht="23.65" customHeight="1" x14ac:dyDescent="0.25">
      <c r="A286" s="175"/>
      <c r="B286" s="175"/>
      <c r="C286" s="182" t="s">
        <v>451</v>
      </c>
      <c r="D286" s="183"/>
      <c r="E286" s="38">
        <v>0</v>
      </c>
      <c r="F286" s="83">
        <v>0</v>
      </c>
      <c r="G286" s="48">
        <v>5.5</v>
      </c>
      <c r="H286" s="49"/>
    </row>
    <row r="287" spans="1:14" ht="18" customHeight="1" x14ac:dyDescent="0.25">
      <c r="A287" s="175"/>
      <c r="B287" s="175"/>
      <c r="C287" s="182" t="s">
        <v>107</v>
      </c>
      <c r="D287" s="183"/>
      <c r="E287" s="38">
        <v>0</v>
      </c>
      <c r="F287" s="83">
        <v>0</v>
      </c>
      <c r="G287" s="48">
        <v>4.0199999999999996</v>
      </c>
      <c r="H287" s="49"/>
    </row>
    <row r="288" spans="1:14" ht="18" customHeight="1" x14ac:dyDescent="0.25">
      <c r="A288" s="175"/>
      <c r="B288" s="175"/>
      <c r="C288" s="182" t="s">
        <v>452</v>
      </c>
      <c r="D288" s="183"/>
      <c r="E288" s="38">
        <v>0</v>
      </c>
      <c r="F288" s="83">
        <v>0</v>
      </c>
      <c r="G288" s="48">
        <v>12.13</v>
      </c>
      <c r="H288" s="49"/>
      <c r="I288" s="58"/>
      <c r="J288" s="58"/>
    </row>
    <row r="289" spans="1:14" ht="23.65" customHeight="1" x14ac:dyDescent="0.25">
      <c r="A289" s="175"/>
      <c r="B289" s="175"/>
      <c r="C289" s="182" t="s">
        <v>453</v>
      </c>
      <c r="D289" s="183"/>
      <c r="E289" s="38">
        <v>0</v>
      </c>
      <c r="F289" s="83">
        <v>0</v>
      </c>
      <c r="G289" s="48">
        <v>19.93</v>
      </c>
      <c r="H289" s="49"/>
    </row>
    <row r="290" spans="1:14" ht="37.5" customHeight="1" x14ac:dyDescent="0.25">
      <c r="A290" s="212" t="s">
        <v>134</v>
      </c>
      <c r="B290" s="211"/>
      <c r="C290" s="193" t="s">
        <v>135</v>
      </c>
      <c r="D290" s="194"/>
      <c r="E290" s="57">
        <v>0</v>
      </c>
      <c r="F290" s="93">
        <f>40000000/100000</f>
        <v>400</v>
      </c>
      <c r="G290" s="96">
        <v>0</v>
      </c>
      <c r="H290" s="97"/>
    </row>
    <row r="291" spans="1:14" ht="36.4" customHeight="1" x14ac:dyDescent="0.25">
      <c r="A291" s="196" t="s">
        <v>142</v>
      </c>
      <c r="B291" s="186"/>
      <c r="C291" s="213" t="s">
        <v>258</v>
      </c>
      <c r="D291" s="214"/>
      <c r="E291" s="98">
        <v>0</v>
      </c>
      <c r="F291" s="174">
        <f>192213/100000</f>
        <v>1.9221299999999999</v>
      </c>
      <c r="G291" s="96">
        <v>0</v>
      </c>
      <c r="H291" s="97">
        <f>E277+E278+E279+E280+E282+E283</f>
        <v>1656.08</v>
      </c>
      <c r="I291" s="56">
        <f>F268+F277+F279+F280+F278+F281+F282+F283+F284+F285+F286+F287+F288+F289++++++++F290+F291</f>
        <v>1382.0577199999998</v>
      </c>
      <c r="J291" s="56">
        <f>G268+G277+G279+G280+G278+G281+G282+G283+G284+G285+G286+G287+G288+G289+G290+G291</f>
        <v>306.58</v>
      </c>
    </row>
    <row r="292" spans="1:14" ht="36.4" customHeight="1" x14ac:dyDescent="0.25">
      <c r="A292" s="106"/>
      <c r="B292" s="70"/>
      <c r="C292" s="68"/>
      <c r="D292" s="107"/>
      <c r="E292" s="108"/>
      <c r="F292" s="101"/>
      <c r="G292" s="109"/>
      <c r="H292" s="97"/>
      <c r="I292" s="56"/>
      <c r="J292" s="56"/>
    </row>
    <row r="293" spans="1:14" ht="27.75" customHeight="1" x14ac:dyDescent="0.25">
      <c r="A293" s="187" t="s">
        <v>678</v>
      </c>
      <c r="B293" s="187"/>
      <c r="C293" s="187"/>
      <c r="D293" s="187"/>
      <c r="E293" s="187"/>
      <c r="F293" s="187"/>
      <c r="G293" s="187"/>
      <c r="H293" s="166"/>
      <c r="I293" s="42"/>
      <c r="J293" s="42"/>
      <c r="K293" s="42"/>
      <c r="L293" s="42"/>
      <c r="M293" s="42"/>
      <c r="N293" s="42"/>
    </row>
    <row r="294" spans="1:14" x14ac:dyDescent="0.25">
      <c r="A294" s="187" t="s">
        <v>53</v>
      </c>
      <c r="B294" s="187"/>
      <c r="C294" s="187"/>
      <c r="D294" s="187"/>
      <c r="E294" s="187"/>
      <c r="F294" s="187"/>
      <c r="G294" s="187"/>
      <c r="H294" s="166"/>
      <c r="I294" s="42"/>
      <c r="J294" s="42"/>
      <c r="K294" s="42"/>
      <c r="L294" s="42"/>
    </row>
    <row r="295" spans="1:14" x14ac:dyDescent="0.25">
      <c r="A295" s="188" t="s">
        <v>54</v>
      </c>
      <c r="B295" s="188"/>
      <c r="C295" s="188"/>
      <c r="D295" s="188"/>
      <c r="E295" s="188"/>
      <c r="F295" s="188"/>
      <c r="G295" s="188"/>
      <c r="H295" s="168"/>
      <c r="I295" s="44"/>
      <c r="J295" s="44"/>
      <c r="K295" s="44"/>
      <c r="L295" s="44"/>
    </row>
    <row r="296" spans="1:14" x14ac:dyDescent="0.25">
      <c r="A296" s="44"/>
      <c r="B296" s="44"/>
      <c r="C296" s="44"/>
      <c r="D296" s="44"/>
      <c r="E296" s="44"/>
      <c r="G296" s="44"/>
      <c r="H296" s="44"/>
      <c r="I296" s="168"/>
      <c r="J296" s="168"/>
      <c r="K296" s="168"/>
      <c r="L296" s="168"/>
    </row>
    <row r="297" spans="1:14" ht="19.5" customHeight="1" x14ac:dyDescent="0.25">
      <c r="A297" s="189" t="s">
        <v>244</v>
      </c>
      <c r="B297" s="178"/>
      <c r="C297" s="190" t="s">
        <v>72</v>
      </c>
      <c r="D297" s="190"/>
      <c r="E297" s="190"/>
      <c r="F297" s="190"/>
      <c r="G297" s="191"/>
      <c r="H297" s="173"/>
      <c r="I297" s="168"/>
      <c r="J297" s="168"/>
      <c r="K297" s="168"/>
      <c r="L297" s="44"/>
      <c r="M297" s="44"/>
      <c r="N297" s="168"/>
    </row>
    <row r="298" spans="1:14" ht="20.25" customHeight="1" x14ac:dyDescent="0.25">
      <c r="A298" s="176" t="s">
        <v>70</v>
      </c>
      <c r="B298" s="177"/>
      <c r="C298" s="176" t="s">
        <v>51</v>
      </c>
      <c r="D298" s="184"/>
      <c r="E298" s="178" t="s">
        <v>99</v>
      </c>
      <c r="F298" s="178"/>
      <c r="G298" s="179"/>
      <c r="H298" s="166"/>
      <c r="I298" s="168"/>
      <c r="J298" s="168"/>
      <c r="K298" s="168"/>
      <c r="L298" s="44"/>
      <c r="M298" s="44"/>
      <c r="N298" s="168"/>
    </row>
    <row r="299" spans="1:14" x14ac:dyDescent="0.25">
      <c r="A299" s="180"/>
      <c r="B299" s="181"/>
      <c r="C299" s="180"/>
      <c r="D299" s="181"/>
      <c r="E299" s="164" t="s">
        <v>597</v>
      </c>
      <c r="F299" s="165" t="s">
        <v>57</v>
      </c>
      <c r="G299" s="165" t="s">
        <v>55</v>
      </c>
      <c r="H299" s="166"/>
      <c r="I299" s="168"/>
      <c r="J299" s="168"/>
      <c r="K299" s="168"/>
      <c r="L299" s="44"/>
      <c r="M299" s="44"/>
      <c r="N299" s="168"/>
    </row>
    <row r="300" spans="1:14" ht="19.5" customHeight="1" x14ac:dyDescent="0.25">
      <c r="A300" s="175" t="s">
        <v>143</v>
      </c>
      <c r="B300" s="175"/>
      <c r="C300" s="182" t="s">
        <v>148</v>
      </c>
      <c r="D300" s="183"/>
      <c r="E300" s="98" cm="1">
        <f t="array" aca="1" ref="E300" ca="1">E300:E3103</f>
        <v>0</v>
      </c>
      <c r="F300" s="174">
        <v>0</v>
      </c>
      <c r="G300" s="96">
        <v>4.8</v>
      </c>
      <c r="H300" s="97"/>
    </row>
    <row r="301" spans="1:14" ht="18.75" customHeight="1" x14ac:dyDescent="0.25">
      <c r="A301" s="175"/>
      <c r="B301" s="175"/>
      <c r="C301" s="185" t="s">
        <v>144</v>
      </c>
      <c r="D301" s="186"/>
      <c r="E301" s="98">
        <v>0</v>
      </c>
      <c r="F301" s="47">
        <f>213597/100000</f>
        <v>2.1359699999999999</v>
      </c>
      <c r="G301" s="105">
        <v>4.8</v>
      </c>
      <c r="H301" s="104"/>
    </row>
    <row r="302" spans="1:14" ht="25.5" customHeight="1" x14ac:dyDescent="0.25">
      <c r="A302" s="175"/>
      <c r="B302" s="175"/>
      <c r="C302" s="185" t="s">
        <v>145</v>
      </c>
      <c r="D302" s="186"/>
      <c r="E302" s="98">
        <v>0</v>
      </c>
      <c r="F302" s="174">
        <f>463597/100000</f>
        <v>4.6359700000000004</v>
      </c>
      <c r="G302" s="96">
        <v>0</v>
      </c>
      <c r="H302" s="97"/>
      <c r="I302" s="52"/>
    </row>
    <row r="303" spans="1:14" ht="16.5" customHeight="1" x14ac:dyDescent="0.25">
      <c r="A303" s="175"/>
      <c r="B303" s="175"/>
      <c r="C303" s="185" t="s">
        <v>261</v>
      </c>
      <c r="D303" s="186"/>
      <c r="E303" s="98">
        <v>0</v>
      </c>
      <c r="F303" s="47">
        <f>463597/100000</f>
        <v>4.6359700000000004</v>
      </c>
      <c r="G303" s="105">
        <v>0</v>
      </c>
      <c r="H303" s="104"/>
    </row>
    <row r="304" spans="1:14" ht="19.5" customHeight="1" x14ac:dyDescent="0.25">
      <c r="A304" s="175"/>
      <c r="B304" s="175"/>
      <c r="C304" s="185" t="s">
        <v>259</v>
      </c>
      <c r="D304" s="186"/>
      <c r="E304" s="98">
        <v>0</v>
      </c>
      <c r="F304" s="47">
        <f>480000/100000</f>
        <v>4.8</v>
      </c>
      <c r="G304" s="105">
        <v>2.5</v>
      </c>
      <c r="H304" s="104"/>
    </row>
    <row r="305" spans="1:14" ht="33.75" customHeight="1" x14ac:dyDescent="0.25">
      <c r="A305" s="175" t="s">
        <v>146</v>
      </c>
      <c r="B305" s="175"/>
      <c r="C305" s="185" t="s">
        <v>449</v>
      </c>
      <c r="D305" s="185"/>
      <c r="E305" s="98">
        <v>0</v>
      </c>
      <c r="F305" s="174">
        <v>0</v>
      </c>
      <c r="G305" s="96">
        <v>0.73</v>
      </c>
      <c r="H305" s="97"/>
    </row>
    <row r="306" spans="1:14" ht="27" customHeight="1" x14ac:dyDescent="0.25">
      <c r="A306" s="175"/>
      <c r="B306" s="175"/>
      <c r="C306" s="185" t="s">
        <v>445</v>
      </c>
      <c r="D306" s="185"/>
      <c r="E306" s="98">
        <v>0</v>
      </c>
      <c r="F306" s="174">
        <v>0</v>
      </c>
      <c r="G306" s="96">
        <v>21.38</v>
      </c>
      <c r="H306" s="97"/>
    </row>
    <row r="307" spans="1:14" ht="36.75" customHeight="1" x14ac:dyDescent="0.25">
      <c r="A307" s="175"/>
      <c r="B307" s="175"/>
      <c r="C307" s="185" t="s">
        <v>446</v>
      </c>
      <c r="D307" s="185"/>
      <c r="E307" s="98">
        <v>0</v>
      </c>
      <c r="F307" s="174">
        <v>0</v>
      </c>
      <c r="G307" s="96">
        <v>1</v>
      </c>
      <c r="H307" s="97"/>
    </row>
    <row r="308" spans="1:14" ht="21.4" customHeight="1" x14ac:dyDescent="0.25">
      <c r="A308" s="175"/>
      <c r="B308" s="175"/>
      <c r="C308" s="185" t="s">
        <v>447</v>
      </c>
      <c r="D308" s="185"/>
      <c r="E308" s="98">
        <v>0</v>
      </c>
      <c r="F308" s="174">
        <v>0</v>
      </c>
      <c r="G308" s="96">
        <v>21.38</v>
      </c>
      <c r="H308" s="97"/>
      <c r="I308" s="56"/>
      <c r="J308" s="110"/>
    </row>
    <row r="309" spans="1:14" ht="21" customHeight="1" x14ac:dyDescent="0.25">
      <c r="A309" s="175"/>
      <c r="B309" s="175"/>
      <c r="C309" s="185" t="s">
        <v>448</v>
      </c>
      <c r="D309" s="185"/>
      <c r="E309" s="50">
        <v>0</v>
      </c>
      <c r="F309" s="174">
        <v>0</v>
      </c>
      <c r="G309" s="96">
        <v>1</v>
      </c>
      <c r="H309" s="97"/>
      <c r="I309" s="111"/>
      <c r="J309" s="111"/>
    </row>
    <row r="310" spans="1:14" ht="21" customHeight="1" x14ac:dyDescent="0.25">
      <c r="A310" s="175"/>
      <c r="B310" s="175"/>
      <c r="C310" s="185" t="s">
        <v>273</v>
      </c>
      <c r="D310" s="185"/>
      <c r="E310" s="50">
        <v>0</v>
      </c>
      <c r="F310" s="93">
        <v>0</v>
      </c>
      <c r="G310" s="96">
        <v>21.38</v>
      </c>
      <c r="H310" s="97"/>
    </row>
    <row r="311" spans="1:14" ht="21" customHeight="1" x14ac:dyDescent="0.25">
      <c r="A311" s="175"/>
      <c r="B311" s="175"/>
      <c r="C311" s="185" t="s">
        <v>450</v>
      </c>
      <c r="D311" s="185"/>
      <c r="E311" s="50">
        <v>0</v>
      </c>
      <c r="F311" s="93">
        <v>0</v>
      </c>
      <c r="G311" s="96">
        <v>21.38</v>
      </c>
      <c r="H311" s="97"/>
    </row>
    <row r="312" spans="1:14" ht="21" customHeight="1" x14ac:dyDescent="0.25">
      <c r="A312" s="175"/>
      <c r="B312" s="175"/>
      <c r="C312" s="185" t="s">
        <v>259</v>
      </c>
      <c r="D312" s="185"/>
      <c r="E312" s="50">
        <v>0</v>
      </c>
      <c r="F312" s="93">
        <v>0</v>
      </c>
      <c r="G312" s="96">
        <v>1</v>
      </c>
      <c r="H312" s="97"/>
    </row>
    <row r="313" spans="1:14" ht="32.25" customHeight="1" x14ac:dyDescent="0.25">
      <c r="A313" s="175"/>
      <c r="B313" s="175"/>
      <c r="C313" s="185" t="s">
        <v>147</v>
      </c>
      <c r="D313" s="186"/>
      <c r="E313" s="50">
        <v>0</v>
      </c>
      <c r="F313" s="93">
        <f>470000/100000</f>
        <v>4.7</v>
      </c>
      <c r="G313" s="96">
        <v>0</v>
      </c>
      <c r="H313" s="97"/>
    </row>
    <row r="314" spans="1:14" ht="27.75" customHeight="1" x14ac:dyDescent="0.25">
      <c r="A314" s="175"/>
      <c r="B314" s="175"/>
      <c r="C314" s="185" t="s">
        <v>148</v>
      </c>
      <c r="D314" s="186"/>
      <c r="E314" s="50">
        <v>0</v>
      </c>
      <c r="F314" s="83">
        <f>4191338/100000</f>
        <v>41.913379999999997</v>
      </c>
      <c r="G314" s="105">
        <v>0</v>
      </c>
      <c r="H314" s="104">
        <f ca="1">E300+E301+E302+E303+E304+E305+E306+E307+E308+E309+E310+E311+E312+E313+E314</f>
        <v>0</v>
      </c>
      <c r="I314" s="58">
        <f>F300+F301+F302+F303+F304+F305+F306+F307+F308+F309+F310+F311+F312+F313+F314</f>
        <v>62.821289999999998</v>
      </c>
      <c r="J314" s="111">
        <f>G300+G301+G302+G303+G304+G305+G306+G307+G308+G309+G310+G311+G312+G313+G314</f>
        <v>101.35</v>
      </c>
    </row>
    <row r="315" spans="1:14" ht="20.25" customHeight="1" x14ac:dyDescent="0.25">
      <c r="A315" s="112"/>
      <c r="B315" s="112"/>
      <c r="C315" s="113"/>
      <c r="D315" s="114"/>
      <c r="E315" s="115"/>
      <c r="F315" s="116"/>
      <c r="G315" s="104"/>
      <c r="H315" s="104"/>
    </row>
    <row r="316" spans="1:14" ht="30.95" customHeight="1" x14ac:dyDescent="0.25">
      <c r="A316" s="187" t="s">
        <v>678</v>
      </c>
      <c r="B316" s="187"/>
      <c r="C316" s="187"/>
      <c r="D316" s="187"/>
      <c r="E316" s="187"/>
      <c r="F316" s="187"/>
      <c r="G316" s="187"/>
      <c r="H316" s="166"/>
      <c r="I316" s="42"/>
      <c r="J316" s="42"/>
      <c r="K316" s="42"/>
      <c r="L316" s="42"/>
      <c r="M316" s="42"/>
      <c r="N316" s="42"/>
    </row>
    <row r="317" spans="1:14" x14ac:dyDescent="0.25">
      <c r="A317" s="187" t="s">
        <v>53</v>
      </c>
      <c r="B317" s="187"/>
      <c r="C317" s="187"/>
      <c r="D317" s="187"/>
      <c r="E317" s="187"/>
      <c r="F317" s="187"/>
      <c r="G317" s="187"/>
      <c r="H317" s="166"/>
      <c r="I317" s="42"/>
      <c r="J317" s="42"/>
      <c r="K317" s="42"/>
      <c r="L317" s="42"/>
    </row>
    <row r="318" spans="1:14" x14ac:dyDescent="0.25">
      <c r="A318" s="188" t="s">
        <v>54</v>
      </c>
      <c r="B318" s="188"/>
      <c r="C318" s="188"/>
      <c r="D318" s="188"/>
      <c r="E318" s="188"/>
      <c r="F318" s="188"/>
      <c r="G318" s="188"/>
      <c r="H318" s="168"/>
      <c r="I318" s="44"/>
      <c r="J318" s="44"/>
      <c r="K318" s="44"/>
      <c r="L318" s="44"/>
    </row>
    <row r="319" spans="1:14" x14ac:dyDescent="0.25">
      <c r="A319" s="44"/>
      <c r="B319" s="44"/>
      <c r="C319" s="44"/>
      <c r="D319" s="44"/>
      <c r="E319" s="44"/>
      <c r="G319" s="44"/>
      <c r="H319" s="44"/>
      <c r="I319" s="168"/>
      <c r="J319" s="168"/>
      <c r="K319" s="168"/>
      <c r="L319" s="168"/>
    </row>
    <row r="320" spans="1:14" x14ac:dyDescent="0.25">
      <c r="A320" s="189" t="s">
        <v>244</v>
      </c>
      <c r="B320" s="178"/>
      <c r="C320" s="190" t="s">
        <v>72</v>
      </c>
      <c r="D320" s="190"/>
      <c r="E320" s="190"/>
      <c r="F320" s="190"/>
      <c r="G320" s="191"/>
      <c r="H320" s="173"/>
      <c r="I320" s="168"/>
      <c r="J320" s="168"/>
      <c r="K320" s="168"/>
      <c r="L320" s="44"/>
      <c r="M320" s="44"/>
      <c r="N320" s="168"/>
    </row>
    <row r="321" spans="1:14" x14ac:dyDescent="0.25">
      <c r="A321" s="176" t="s">
        <v>70</v>
      </c>
      <c r="B321" s="177"/>
      <c r="C321" s="176" t="s">
        <v>51</v>
      </c>
      <c r="D321" s="184"/>
      <c r="E321" s="178" t="s">
        <v>99</v>
      </c>
      <c r="F321" s="178"/>
      <c r="G321" s="179"/>
      <c r="H321" s="166"/>
      <c r="I321" s="168"/>
      <c r="J321" s="168"/>
      <c r="K321" s="168"/>
      <c r="L321" s="44"/>
      <c r="M321" s="44"/>
      <c r="N321" s="168"/>
    </row>
    <row r="322" spans="1:14" x14ac:dyDescent="0.25">
      <c r="A322" s="180"/>
      <c r="B322" s="181"/>
      <c r="C322" s="180"/>
      <c r="D322" s="181"/>
      <c r="E322" s="164" t="s">
        <v>597</v>
      </c>
      <c r="F322" s="165" t="s">
        <v>57</v>
      </c>
      <c r="G322" s="165" t="s">
        <v>55</v>
      </c>
      <c r="H322" s="166"/>
      <c r="I322" s="168"/>
      <c r="J322" s="168"/>
      <c r="K322" s="168"/>
      <c r="L322" s="44"/>
      <c r="M322" s="44"/>
      <c r="N322" s="168"/>
    </row>
    <row r="323" spans="1:14" ht="37.5" customHeight="1" x14ac:dyDescent="0.25">
      <c r="A323" s="175" t="s">
        <v>146</v>
      </c>
      <c r="B323" s="175"/>
      <c r="C323" s="185" t="s">
        <v>444</v>
      </c>
      <c r="D323" s="186"/>
      <c r="E323" s="50">
        <v>0</v>
      </c>
      <c r="F323" s="93">
        <f>5766338/100000</f>
        <v>57.663379999999997</v>
      </c>
      <c r="G323" s="96">
        <v>0</v>
      </c>
      <c r="H323" s="97"/>
    </row>
    <row r="324" spans="1:14" ht="19.5" customHeight="1" x14ac:dyDescent="0.25">
      <c r="A324" s="175"/>
      <c r="B324" s="175"/>
      <c r="C324" s="185" t="s">
        <v>144</v>
      </c>
      <c r="D324" s="186"/>
      <c r="E324" s="50">
        <v>0</v>
      </c>
      <c r="F324" s="93">
        <f>3080800/100000</f>
        <v>30.808</v>
      </c>
      <c r="G324" s="96">
        <v>1</v>
      </c>
      <c r="H324" s="97"/>
      <c r="I324" s="111"/>
      <c r="J324" s="111"/>
    </row>
    <row r="325" spans="1:14" ht="23.25" customHeight="1" x14ac:dyDescent="0.25">
      <c r="A325" s="175"/>
      <c r="B325" s="175"/>
      <c r="C325" s="185" t="s">
        <v>145</v>
      </c>
      <c r="D325" s="186"/>
      <c r="E325" s="50">
        <v>0</v>
      </c>
      <c r="F325" s="93">
        <f>3080800/100000</f>
        <v>30.808</v>
      </c>
      <c r="G325" s="60">
        <v>0</v>
      </c>
      <c r="H325" s="61"/>
    </row>
    <row r="326" spans="1:14" ht="21.75" customHeight="1" x14ac:dyDescent="0.25">
      <c r="A326" s="175"/>
      <c r="B326" s="175"/>
      <c r="C326" s="185" t="s">
        <v>260</v>
      </c>
      <c r="D326" s="186"/>
      <c r="E326" s="50">
        <v>0</v>
      </c>
      <c r="F326" s="83">
        <f>5766338/100000</f>
        <v>57.663379999999997</v>
      </c>
      <c r="G326" s="48">
        <v>0</v>
      </c>
      <c r="H326" s="49"/>
    </row>
    <row r="327" spans="1:14" ht="21.75" customHeight="1" x14ac:dyDescent="0.25">
      <c r="A327" s="175"/>
      <c r="B327" s="175"/>
      <c r="C327" s="185" t="s">
        <v>261</v>
      </c>
      <c r="D327" s="186"/>
      <c r="E327" s="50">
        <v>0</v>
      </c>
      <c r="F327" s="83">
        <f>4191338/100000</f>
        <v>41.913379999999997</v>
      </c>
      <c r="G327" s="48">
        <v>0</v>
      </c>
      <c r="H327" s="49"/>
    </row>
    <row r="328" spans="1:14" ht="21.75" customHeight="1" x14ac:dyDescent="0.25">
      <c r="A328" s="175"/>
      <c r="B328" s="175"/>
      <c r="C328" s="185" t="s">
        <v>262</v>
      </c>
      <c r="D328" s="186"/>
      <c r="E328" s="50">
        <v>0</v>
      </c>
      <c r="F328" s="83">
        <f>5766338/100000</f>
        <v>57.663379999999997</v>
      </c>
      <c r="G328" s="48">
        <v>0</v>
      </c>
      <c r="H328" s="49"/>
    </row>
    <row r="329" spans="1:14" ht="21.75" customHeight="1" x14ac:dyDescent="0.25">
      <c r="A329" s="175"/>
      <c r="B329" s="175"/>
      <c r="C329" s="185" t="s">
        <v>263</v>
      </c>
      <c r="D329" s="186"/>
      <c r="E329" s="50">
        <v>0</v>
      </c>
      <c r="F329" s="83">
        <f>4191338/100000</f>
        <v>41.913379999999997</v>
      </c>
      <c r="G329" s="48">
        <v>0</v>
      </c>
      <c r="H329" s="49"/>
    </row>
    <row r="330" spans="1:14" ht="21.75" customHeight="1" x14ac:dyDescent="0.25">
      <c r="A330" s="175"/>
      <c r="B330" s="175"/>
      <c r="C330" s="185" t="s">
        <v>264</v>
      </c>
      <c r="D330" s="186"/>
      <c r="E330" s="50">
        <v>0</v>
      </c>
      <c r="F330" s="83">
        <f>470000/100000</f>
        <v>4.7</v>
      </c>
      <c r="G330" s="48">
        <v>0.75</v>
      </c>
      <c r="H330" s="49"/>
    </row>
    <row r="331" spans="1:14" ht="20.25" customHeight="1" x14ac:dyDescent="0.25">
      <c r="A331" s="175" t="s">
        <v>149</v>
      </c>
      <c r="B331" s="175"/>
      <c r="C331" s="185" t="s">
        <v>148</v>
      </c>
      <c r="D331" s="186"/>
      <c r="E331" s="50">
        <v>0</v>
      </c>
      <c r="F331" s="174">
        <f>1200000/100000</f>
        <v>12</v>
      </c>
      <c r="G331" s="60">
        <v>0</v>
      </c>
      <c r="H331" s="61"/>
    </row>
    <row r="332" spans="1:14" ht="18.75" customHeight="1" x14ac:dyDescent="0.25">
      <c r="A332" s="175"/>
      <c r="B332" s="175"/>
      <c r="C332" s="185" t="s">
        <v>263</v>
      </c>
      <c r="D332" s="186"/>
      <c r="E332" s="50">
        <v>0</v>
      </c>
      <c r="F332" s="174">
        <f>1575000/100000</f>
        <v>15.75</v>
      </c>
      <c r="G332" s="60">
        <v>0</v>
      </c>
      <c r="H332" s="61"/>
      <c r="I332" s="56"/>
      <c r="J332" s="56"/>
    </row>
    <row r="333" spans="1:14" ht="32.25" customHeight="1" x14ac:dyDescent="0.25">
      <c r="A333" s="221" t="s">
        <v>499</v>
      </c>
      <c r="B333" s="222"/>
      <c r="C333" s="182" t="s">
        <v>500</v>
      </c>
      <c r="D333" s="183"/>
      <c r="E333" s="79">
        <v>0</v>
      </c>
      <c r="F333" s="174">
        <v>0</v>
      </c>
      <c r="G333" s="54">
        <v>1187.17</v>
      </c>
      <c r="H333" s="55"/>
    </row>
    <row r="334" spans="1:14" ht="19.5" customHeight="1" x14ac:dyDescent="0.25">
      <c r="A334" s="175" t="s">
        <v>150</v>
      </c>
      <c r="B334" s="175"/>
      <c r="C334" s="185" t="s">
        <v>151</v>
      </c>
      <c r="D334" s="186"/>
      <c r="E334" s="38">
        <v>0</v>
      </c>
      <c r="F334" s="47">
        <f>4977842/100000</f>
        <v>49.778419999999997</v>
      </c>
      <c r="G334" s="48">
        <v>0</v>
      </c>
      <c r="H334" s="49"/>
    </row>
    <row r="335" spans="1:14" ht="24" customHeight="1" x14ac:dyDescent="0.25">
      <c r="A335" s="175" t="s">
        <v>152</v>
      </c>
      <c r="B335" s="175"/>
      <c r="C335" s="185" t="s">
        <v>153</v>
      </c>
      <c r="D335" s="186"/>
      <c r="E335" s="38">
        <v>0</v>
      </c>
      <c r="F335" s="174">
        <f>2646275/100000</f>
        <v>26.46275</v>
      </c>
      <c r="G335" s="60">
        <v>5.18</v>
      </c>
      <c r="H335" s="61"/>
    </row>
    <row r="336" spans="1:14" ht="24" customHeight="1" x14ac:dyDescent="0.25">
      <c r="A336" s="175"/>
      <c r="B336" s="175"/>
      <c r="C336" s="185" t="s">
        <v>144</v>
      </c>
      <c r="D336" s="186"/>
      <c r="E336" s="38">
        <v>0</v>
      </c>
      <c r="F336" s="47">
        <f>393750/100000</f>
        <v>3.9375</v>
      </c>
      <c r="G336" s="51">
        <v>0</v>
      </c>
      <c r="H336" s="49"/>
    </row>
    <row r="337" spans="1:14" ht="24" customHeight="1" x14ac:dyDescent="0.25">
      <c r="A337" s="175"/>
      <c r="B337" s="175"/>
      <c r="C337" s="185" t="s">
        <v>262</v>
      </c>
      <c r="D337" s="186"/>
      <c r="E337" s="38">
        <v>0</v>
      </c>
      <c r="F337" s="47">
        <f>684387/100000</f>
        <v>6.8438699999999999</v>
      </c>
      <c r="G337" s="51">
        <v>0</v>
      </c>
      <c r="H337" s="49"/>
      <c r="I337" s="58"/>
      <c r="J337" s="58"/>
    </row>
    <row r="338" spans="1:14" ht="21" customHeight="1" x14ac:dyDescent="0.25">
      <c r="A338" s="175"/>
      <c r="B338" s="175"/>
      <c r="C338" s="185" t="s">
        <v>259</v>
      </c>
      <c r="D338" s="186"/>
      <c r="E338" s="38">
        <v>0</v>
      </c>
      <c r="F338" s="47">
        <f>5059247/100000</f>
        <v>50.592469999999999</v>
      </c>
      <c r="G338" s="51">
        <v>0</v>
      </c>
      <c r="H338" s="64">
        <f>E323+E324+E325+E326+E327+E328+E329+E330+E331+E332+E333+E334+E335+E336+E337+E338</f>
        <v>0</v>
      </c>
      <c r="I338" s="39">
        <f>F323+F324+F325+F326+F327+F328+F329+F330+F331+F332+F333+F334+F335+F336+F337+F338</f>
        <v>488.49790999999993</v>
      </c>
      <c r="J338" s="39">
        <f>G323+G324+G325+G326+G327+G328+G329+G330+G331+G332+G333+G334+G335+G336+G337+G338</f>
        <v>1194.1000000000001</v>
      </c>
    </row>
    <row r="339" spans="1:14" ht="31.5" customHeight="1" x14ac:dyDescent="0.25">
      <c r="A339" s="187" t="s">
        <v>678</v>
      </c>
      <c r="B339" s="187"/>
      <c r="C339" s="187"/>
      <c r="D339" s="187"/>
      <c r="E339" s="187"/>
      <c r="F339" s="187"/>
      <c r="G339" s="187"/>
      <c r="H339" s="166"/>
      <c r="I339" s="42"/>
      <c r="J339" s="42"/>
      <c r="K339" s="42"/>
      <c r="L339" s="42"/>
      <c r="M339" s="42"/>
      <c r="N339" s="42"/>
    </row>
    <row r="340" spans="1:14" x14ac:dyDescent="0.25">
      <c r="A340" s="187" t="s">
        <v>53</v>
      </c>
      <c r="B340" s="187"/>
      <c r="C340" s="187"/>
      <c r="D340" s="187"/>
      <c r="E340" s="187"/>
      <c r="F340" s="187"/>
      <c r="G340" s="187"/>
      <c r="H340" s="166"/>
      <c r="I340" s="42"/>
      <c r="J340" s="42"/>
      <c r="K340" s="42"/>
      <c r="L340" s="42"/>
    </row>
    <row r="341" spans="1:14" x14ac:dyDescent="0.25">
      <c r="A341" s="188" t="s">
        <v>54</v>
      </c>
      <c r="B341" s="188"/>
      <c r="C341" s="188"/>
      <c r="D341" s="188"/>
      <c r="E341" s="188"/>
      <c r="F341" s="188"/>
      <c r="G341" s="188"/>
      <c r="H341" s="168"/>
      <c r="I341" s="44"/>
      <c r="J341" s="44"/>
      <c r="K341" s="44"/>
      <c r="L341" s="44"/>
    </row>
    <row r="342" spans="1:14" x14ac:dyDescent="0.25">
      <c r="A342" s="44"/>
      <c r="B342" s="44"/>
      <c r="C342" s="44"/>
      <c r="D342" s="44"/>
      <c r="E342" s="44"/>
      <c r="G342" s="44"/>
      <c r="H342" s="44"/>
      <c r="I342" s="168"/>
      <c r="J342" s="168"/>
      <c r="K342" s="168"/>
      <c r="L342" s="168"/>
    </row>
    <row r="343" spans="1:14" x14ac:dyDescent="0.25">
      <c r="A343" s="189" t="s">
        <v>244</v>
      </c>
      <c r="B343" s="178"/>
      <c r="C343" s="190" t="s">
        <v>72</v>
      </c>
      <c r="D343" s="190"/>
      <c r="E343" s="190"/>
      <c r="F343" s="190"/>
      <c r="G343" s="191"/>
      <c r="H343" s="173"/>
      <c r="I343" s="168"/>
      <c r="J343" s="168"/>
      <c r="K343" s="168"/>
      <c r="L343" s="44"/>
      <c r="M343" s="44"/>
      <c r="N343" s="168"/>
    </row>
    <row r="344" spans="1:14" x14ac:dyDescent="0.25">
      <c r="A344" s="176" t="s">
        <v>70</v>
      </c>
      <c r="B344" s="177"/>
      <c r="C344" s="176" t="s">
        <v>51</v>
      </c>
      <c r="D344" s="184"/>
      <c r="E344" s="178" t="s">
        <v>99</v>
      </c>
      <c r="F344" s="178"/>
      <c r="G344" s="179"/>
      <c r="H344" s="166"/>
      <c r="I344" s="168"/>
      <c r="J344" s="168"/>
      <c r="K344" s="168"/>
      <c r="L344" s="44"/>
      <c r="M344" s="44"/>
      <c r="N344" s="168"/>
    </row>
    <row r="345" spans="1:14" x14ac:dyDescent="0.25">
      <c r="A345" s="180"/>
      <c r="B345" s="181"/>
      <c r="C345" s="180"/>
      <c r="D345" s="181"/>
      <c r="E345" s="164" t="s">
        <v>597</v>
      </c>
      <c r="F345" s="165" t="s">
        <v>57</v>
      </c>
      <c r="G345" s="165" t="s">
        <v>55</v>
      </c>
      <c r="H345" s="166"/>
      <c r="I345" s="168"/>
      <c r="J345" s="168"/>
      <c r="K345" s="168"/>
      <c r="L345" s="44"/>
      <c r="M345" s="44"/>
      <c r="N345" s="168"/>
    </row>
    <row r="346" spans="1:14" ht="31.5" customHeight="1" x14ac:dyDescent="0.25">
      <c r="A346" s="200" t="s">
        <v>154</v>
      </c>
      <c r="B346" s="201"/>
      <c r="C346" s="185" t="s">
        <v>480</v>
      </c>
      <c r="D346" s="186"/>
      <c r="E346" s="50">
        <v>0</v>
      </c>
      <c r="F346" s="174">
        <f>243000/100000</f>
        <v>2.4300000000000002</v>
      </c>
      <c r="G346" s="60">
        <v>0</v>
      </c>
      <c r="H346" s="61"/>
    </row>
    <row r="347" spans="1:14" ht="16.5" customHeight="1" x14ac:dyDescent="0.25">
      <c r="A347" s="207"/>
      <c r="B347" s="208"/>
      <c r="C347" s="182" t="s">
        <v>144</v>
      </c>
      <c r="D347" s="183"/>
      <c r="E347" s="50">
        <v>0</v>
      </c>
      <c r="F347" s="47">
        <v>0</v>
      </c>
      <c r="G347" s="51">
        <v>2</v>
      </c>
      <c r="H347" s="64"/>
    </row>
    <row r="348" spans="1:14" ht="18.75" customHeight="1" x14ac:dyDescent="0.25">
      <c r="A348" s="207"/>
      <c r="B348" s="208"/>
      <c r="C348" s="182" t="s">
        <v>259</v>
      </c>
      <c r="D348" s="183"/>
      <c r="E348" s="50">
        <v>0</v>
      </c>
      <c r="F348" s="47">
        <v>0</v>
      </c>
      <c r="G348" s="51">
        <v>2</v>
      </c>
      <c r="H348" s="64"/>
    </row>
    <row r="349" spans="1:14" ht="34.5" customHeight="1" x14ac:dyDescent="0.25">
      <c r="A349" s="196" t="s">
        <v>265</v>
      </c>
      <c r="B349" s="186"/>
      <c r="C349" s="185" t="s">
        <v>155</v>
      </c>
      <c r="D349" s="186"/>
      <c r="E349" s="50">
        <v>0</v>
      </c>
      <c r="F349" s="174">
        <f>2714000/100000</f>
        <v>27.14</v>
      </c>
      <c r="G349" s="60">
        <v>0</v>
      </c>
      <c r="H349" s="61"/>
    </row>
    <row r="350" spans="1:14" ht="19.5" customHeight="1" x14ac:dyDescent="0.25">
      <c r="A350" s="175" t="s">
        <v>266</v>
      </c>
      <c r="B350" s="175"/>
      <c r="C350" s="185" t="s">
        <v>267</v>
      </c>
      <c r="D350" s="186"/>
      <c r="E350" s="50">
        <v>0</v>
      </c>
      <c r="F350" s="83">
        <f>236000/100000</f>
        <v>2.36</v>
      </c>
      <c r="G350" s="48">
        <v>0</v>
      </c>
      <c r="H350" s="49"/>
    </row>
    <row r="351" spans="1:14" ht="19.5" customHeight="1" x14ac:dyDescent="0.25">
      <c r="A351" s="175"/>
      <c r="B351" s="175"/>
      <c r="C351" s="185" t="s">
        <v>62</v>
      </c>
      <c r="D351" s="186"/>
      <c r="E351" s="50">
        <v>0</v>
      </c>
      <c r="F351" s="83">
        <f>40000/100000</f>
        <v>0.4</v>
      </c>
      <c r="G351" s="51">
        <v>0</v>
      </c>
      <c r="H351" s="64"/>
      <c r="I351" s="39"/>
      <c r="J351" s="58"/>
    </row>
    <row r="352" spans="1:14" ht="16.5" customHeight="1" x14ac:dyDescent="0.25">
      <c r="A352" s="175"/>
      <c r="B352" s="175"/>
      <c r="C352" s="185" t="s">
        <v>159</v>
      </c>
      <c r="D352" s="186"/>
      <c r="E352" s="50">
        <v>0</v>
      </c>
      <c r="F352" s="83">
        <f>950000/100000</f>
        <v>9.5</v>
      </c>
      <c r="G352" s="51">
        <v>0</v>
      </c>
      <c r="H352" s="64"/>
    </row>
    <row r="353" spans="1:14" ht="19.5" customHeight="1" x14ac:dyDescent="0.25">
      <c r="A353" s="175"/>
      <c r="B353" s="175"/>
      <c r="C353" s="185" t="s">
        <v>108</v>
      </c>
      <c r="D353" s="186"/>
      <c r="E353" s="50">
        <v>0</v>
      </c>
      <c r="F353" s="83">
        <f>1350320/100000</f>
        <v>13.5032</v>
      </c>
      <c r="G353" s="51">
        <v>25.11</v>
      </c>
      <c r="H353" s="64"/>
    </row>
    <row r="354" spans="1:14" ht="19.5" customHeight="1" x14ac:dyDescent="0.25">
      <c r="A354" s="175"/>
      <c r="B354" s="175"/>
      <c r="C354" s="185" t="s">
        <v>268</v>
      </c>
      <c r="D354" s="186"/>
      <c r="E354" s="50">
        <v>6.64</v>
      </c>
      <c r="F354" s="83">
        <f>1000000/100000</f>
        <v>10</v>
      </c>
      <c r="G354" s="51">
        <v>0</v>
      </c>
      <c r="H354" s="64"/>
    </row>
    <row r="355" spans="1:14" ht="19.5" customHeight="1" x14ac:dyDescent="0.25">
      <c r="A355" s="175"/>
      <c r="B355" s="175"/>
      <c r="C355" s="185" t="s">
        <v>269</v>
      </c>
      <c r="D355" s="186"/>
      <c r="E355" s="50">
        <v>0</v>
      </c>
      <c r="F355" s="83">
        <f>1100000/100000</f>
        <v>11</v>
      </c>
      <c r="G355" s="51">
        <v>0</v>
      </c>
      <c r="H355" s="64"/>
    </row>
    <row r="356" spans="1:14" ht="19.5" customHeight="1" x14ac:dyDescent="0.25">
      <c r="A356" s="175"/>
      <c r="B356" s="175"/>
      <c r="C356" s="185" t="s">
        <v>160</v>
      </c>
      <c r="D356" s="186"/>
      <c r="E356" s="79">
        <v>0</v>
      </c>
      <c r="F356" s="93">
        <f>275000/100000</f>
        <v>2.75</v>
      </c>
      <c r="G356" s="117">
        <v>11.1</v>
      </c>
      <c r="H356" s="66"/>
    </row>
    <row r="357" spans="1:14" ht="19.5" customHeight="1" x14ac:dyDescent="0.25">
      <c r="A357" s="175"/>
      <c r="B357" s="175"/>
      <c r="C357" s="185" t="s">
        <v>270</v>
      </c>
      <c r="D357" s="186"/>
      <c r="E357" s="38">
        <v>0</v>
      </c>
      <c r="F357" s="83">
        <f>1543000/100000</f>
        <v>15.43</v>
      </c>
      <c r="G357" s="51">
        <v>11.25</v>
      </c>
      <c r="H357" s="64"/>
    </row>
    <row r="358" spans="1:14" ht="19.5" customHeight="1" x14ac:dyDescent="0.25">
      <c r="A358" s="175"/>
      <c r="B358" s="175"/>
      <c r="C358" s="185" t="s">
        <v>271</v>
      </c>
      <c r="D358" s="186"/>
      <c r="E358" s="38">
        <v>0</v>
      </c>
      <c r="F358" s="83">
        <f>700000/100000</f>
        <v>7</v>
      </c>
      <c r="G358" s="51">
        <v>0</v>
      </c>
      <c r="H358" s="64"/>
    </row>
    <row r="359" spans="1:14" ht="23.25" customHeight="1" x14ac:dyDescent="0.25">
      <c r="A359" s="175"/>
      <c r="B359" s="175"/>
      <c r="C359" s="185" t="s">
        <v>161</v>
      </c>
      <c r="D359" s="186"/>
      <c r="E359" s="38">
        <v>0</v>
      </c>
      <c r="F359" s="83">
        <f>1019960/100000</f>
        <v>10.1996</v>
      </c>
      <c r="G359" s="51">
        <v>14.32</v>
      </c>
      <c r="H359" s="64"/>
    </row>
    <row r="360" spans="1:14" ht="23.25" customHeight="1" x14ac:dyDescent="0.25">
      <c r="A360" s="175"/>
      <c r="B360" s="175"/>
      <c r="C360" s="185" t="s">
        <v>272</v>
      </c>
      <c r="D360" s="186"/>
      <c r="E360" s="38">
        <v>0</v>
      </c>
      <c r="F360" s="83">
        <f>413000/100000</f>
        <v>4.13</v>
      </c>
      <c r="G360" s="51">
        <v>0</v>
      </c>
      <c r="H360" s="64"/>
      <c r="I360" s="52"/>
    </row>
    <row r="361" spans="1:14" ht="23.25" customHeight="1" x14ac:dyDescent="0.25">
      <c r="A361" s="175"/>
      <c r="B361" s="175"/>
      <c r="C361" s="182" t="s">
        <v>451</v>
      </c>
      <c r="D361" s="183"/>
      <c r="E361" s="38">
        <v>0</v>
      </c>
      <c r="F361" s="83">
        <v>0</v>
      </c>
      <c r="G361" s="51">
        <v>130</v>
      </c>
      <c r="H361" s="64"/>
      <c r="I361" s="52"/>
    </row>
    <row r="362" spans="1:14" ht="23.25" customHeight="1" x14ac:dyDescent="0.25">
      <c r="A362" s="175"/>
      <c r="B362" s="175"/>
      <c r="C362" s="182" t="s">
        <v>454</v>
      </c>
      <c r="D362" s="183"/>
      <c r="E362" s="38">
        <v>0</v>
      </c>
      <c r="F362" s="83">
        <v>0</v>
      </c>
      <c r="G362" s="51">
        <v>19.07</v>
      </c>
      <c r="H362" s="64"/>
      <c r="I362" s="52"/>
    </row>
    <row r="363" spans="1:14" ht="17.25" customHeight="1" x14ac:dyDescent="0.25">
      <c r="A363" s="175"/>
      <c r="B363" s="175"/>
      <c r="C363" s="182" t="s">
        <v>157</v>
      </c>
      <c r="D363" s="183"/>
      <c r="E363" s="38">
        <v>0</v>
      </c>
      <c r="F363" s="83">
        <v>0</v>
      </c>
      <c r="G363" s="51">
        <v>25.5</v>
      </c>
      <c r="H363" s="64">
        <f>E346+E347+E348+E349+E350+E351+E352+E353+E354+E355+E356+E357+E358+E359+E360+E361+E362+E363</f>
        <v>6.64</v>
      </c>
      <c r="I363" s="39">
        <f>F346+F347+F348+F349+F350+F351+F352+F353+F354+F355+F356+F357+F358+F359+F360+F361+F362+F363</f>
        <v>115.84280000000001</v>
      </c>
      <c r="J363" s="39">
        <f>G346+G347+G348+G349+G350+G351+G352+G353+G354+G355+G356+G357+G358+G359+G360+G361+G362+G363</f>
        <v>240.35</v>
      </c>
    </row>
    <row r="364" spans="1:14" ht="29.65" customHeight="1" x14ac:dyDescent="0.25">
      <c r="A364" s="187" t="s">
        <v>678</v>
      </c>
      <c r="B364" s="187"/>
      <c r="C364" s="187"/>
      <c r="D364" s="187"/>
      <c r="E364" s="187"/>
      <c r="F364" s="187"/>
      <c r="G364" s="187"/>
      <c r="H364" s="166"/>
      <c r="I364" s="42"/>
      <c r="J364" s="42"/>
      <c r="K364" s="42"/>
      <c r="L364" s="42"/>
      <c r="M364" s="42"/>
      <c r="N364" s="42"/>
    </row>
    <row r="365" spans="1:14" x14ac:dyDescent="0.25">
      <c r="A365" s="187" t="s">
        <v>53</v>
      </c>
      <c r="B365" s="187"/>
      <c r="C365" s="187"/>
      <c r="D365" s="187"/>
      <c r="E365" s="187"/>
      <c r="F365" s="187"/>
      <c r="G365" s="187"/>
      <c r="H365" s="166"/>
      <c r="I365" s="42"/>
      <c r="J365" s="42"/>
      <c r="K365" s="42"/>
      <c r="L365" s="42"/>
    </row>
    <row r="366" spans="1:14" x14ac:dyDescent="0.25">
      <c r="A366" s="188" t="s">
        <v>54</v>
      </c>
      <c r="B366" s="188"/>
      <c r="C366" s="188"/>
      <c r="D366" s="188"/>
      <c r="E366" s="188"/>
      <c r="F366" s="188"/>
      <c r="G366" s="188"/>
      <c r="H366" s="168"/>
      <c r="I366" s="44"/>
      <c r="J366" s="44"/>
      <c r="K366" s="44"/>
      <c r="L366" s="44"/>
    </row>
    <row r="367" spans="1:14" x14ac:dyDescent="0.25">
      <c r="A367" s="44"/>
      <c r="B367" s="44"/>
      <c r="C367" s="44"/>
      <c r="D367" s="44"/>
      <c r="E367" s="44"/>
      <c r="G367" s="44"/>
      <c r="H367" s="44"/>
      <c r="I367" s="168"/>
      <c r="J367" s="168"/>
      <c r="K367" s="168"/>
      <c r="L367" s="168"/>
    </row>
    <row r="368" spans="1:14" x14ac:dyDescent="0.25">
      <c r="A368" s="189" t="s">
        <v>244</v>
      </c>
      <c r="B368" s="178"/>
      <c r="C368" s="190" t="s">
        <v>72</v>
      </c>
      <c r="D368" s="190"/>
      <c r="E368" s="190"/>
      <c r="F368" s="190"/>
      <c r="G368" s="191"/>
      <c r="H368" s="173"/>
      <c r="I368" s="168"/>
      <c r="J368" s="168"/>
      <c r="K368" s="168"/>
      <c r="L368" s="44"/>
      <c r="M368" s="44"/>
      <c r="N368" s="168"/>
    </row>
    <row r="369" spans="1:14" x14ac:dyDescent="0.25">
      <c r="A369" s="176" t="s">
        <v>70</v>
      </c>
      <c r="B369" s="177"/>
      <c r="C369" s="176" t="s">
        <v>51</v>
      </c>
      <c r="D369" s="184"/>
      <c r="E369" s="178" t="s">
        <v>99</v>
      </c>
      <c r="F369" s="178"/>
      <c r="G369" s="179"/>
      <c r="H369" s="166"/>
      <c r="I369" s="168"/>
      <c r="J369" s="168"/>
      <c r="K369" s="168"/>
      <c r="L369" s="44"/>
      <c r="M369" s="44"/>
      <c r="N369" s="168"/>
    </row>
    <row r="370" spans="1:14" x14ac:dyDescent="0.25">
      <c r="A370" s="180"/>
      <c r="B370" s="181"/>
      <c r="C370" s="180"/>
      <c r="D370" s="181"/>
      <c r="E370" s="164" t="s">
        <v>597</v>
      </c>
      <c r="F370" s="165" t="s">
        <v>57</v>
      </c>
      <c r="G370" s="165" t="s">
        <v>55</v>
      </c>
      <c r="H370" s="166"/>
      <c r="I370" s="168"/>
      <c r="J370" s="168"/>
      <c r="K370" s="168"/>
      <c r="L370" s="44"/>
      <c r="M370" s="44"/>
      <c r="N370" s="168"/>
    </row>
    <row r="371" spans="1:14" ht="21" customHeight="1" x14ac:dyDescent="0.25">
      <c r="A371" s="175" t="s">
        <v>266</v>
      </c>
      <c r="B371" s="175"/>
      <c r="C371" s="182" t="s">
        <v>455</v>
      </c>
      <c r="D371" s="183"/>
      <c r="E371" s="94">
        <v>1.84</v>
      </c>
      <c r="F371" s="93">
        <v>0</v>
      </c>
      <c r="G371" s="117">
        <v>11.27</v>
      </c>
      <c r="H371" s="66"/>
      <c r="I371" s="52"/>
    </row>
    <row r="372" spans="1:14" ht="21" customHeight="1" x14ac:dyDescent="0.25">
      <c r="A372" s="175"/>
      <c r="B372" s="175"/>
      <c r="C372" s="182" t="s">
        <v>456</v>
      </c>
      <c r="D372" s="183"/>
      <c r="E372" s="67">
        <v>0</v>
      </c>
      <c r="F372" s="83">
        <v>0</v>
      </c>
      <c r="G372" s="51">
        <v>1.08</v>
      </c>
      <c r="H372" s="66"/>
      <c r="I372" s="87"/>
      <c r="J372" s="87"/>
    </row>
    <row r="373" spans="1:14" ht="21" customHeight="1" x14ac:dyDescent="0.25">
      <c r="A373" s="175"/>
      <c r="B373" s="175"/>
      <c r="C373" s="182" t="s">
        <v>457</v>
      </c>
      <c r="D373" s="183"/>
      <c r="E373" s="67">
        <v>0</v>
      </c>
      <c r="F373" s="83">
        <v>0</v>
      </c>
      <c r="G373" s="51">
        <v>1.92</v>
      </c>
      <c r="H373" s="64"/>
      <c r="I373" s="75"/>
      <c r="J373" s="58"/>
      <c r="K373" s="58"/>
    </row>
    <row r="374" spans="1:14" ht="18.75" customHeight="1" x14ac:dyDescent="0.25">
      <c r="A374" s="175"/>
      <c r="B374" s="175"/>
      <c r="C374" s="182" t="s">
        <v>458</v>
      </c>
      <c r="D374" s="183"/>
      <c r="E374" s="67">
        <v>0</v>
      </c>
      <c r="F374" s="83">
        <v>0</v>
      </c>
      <c r="G374" s="51">
        <v>2.93</v>
      </c>
      <c r="H374" s="64"/>
      <c r="I374" s="52"/>
    </row>
    <row r="375" spans="1:14" ht="16.5" customHeight="1" x14ac:dyDescent="0.25">
      <c r="A375" s="175"/>
      <c r="B375" s="175"/>
      <c r="C375" s="182" t="s">
        <v>459</v>
      </c>
      <c r="D375" s="183"/>
      <c r="E375" s="67">
        <v>0</v>
      </c>
      <c r="F375" s="83">
        <v>0</v>
      </c>
      <c r="G375" s="51">
        <v>6.92</v>
      </c>
      <c r="H375" s="64">
        <f>692.24+194</f>
        <v>886.24</v>
      </c>
      <c r="I375" s="52"/>
    </row>
    <row r="376" spans="1:14" ht="18.75" customHeight="1" x14ac:dyDescent="0.25">
      <c r="A376" s="175"/>
      <c r="B376" s="175"/>
      <c r="C376" s="182" t="s">
        <v>453</v>
      </c>
      <c r="D376" s="183"/>
      <c r="E376" s="67">
        <v>0</v>
      </c>
      <c r="F376" s="174">
        <v>0</v>
      </c>
      <c r="G376" s="117">
        <v>11</v>
      </c>
      <c r="H376" s="64"/>
      <c r="I376" s="52"/>
    </row>
    <row r="377" spans="1:14" ht="16.5" customHeight="1" x14ac:dyDescent="0.25">
      <c r="A377" s="200" t="s">
        <v>614</v>
      </c>
      <c r="B377" s="201"/>
      <c r="C377" s="182" t="s">
        <v>615</v>
      </c>
      <c r="D377" s="183"/>
      <c r="E377" s="94">
        <v>886.24</v>
      </c>
      <c r="F377" s="174">
        <v>0</v>
      </c>
      <c r="G377" s="117">
        <v>0</v>
      </c>
      <c r="H377" s="64"/>
      <c r="I377" s="52"/>
    </row>
    <row r="378" spans="1:14" ht="16.5" customHeight="1" x14ac:dyDescent="0.25">
      <c r="A378" s="207"/>
      <c r="B378" s="208"/>
      <c r="C378" s="182" t="s">
        <v>616</v>
      </c>
      <c r="D378" s="183"/>
      <c r="E378" s="94">
        <v>9.84</v>
      </c>
      <c r="F378" s="174">
        <v>0</v>
      </c>
      <c r="G378" s="117">
        <v>0</v>
      </c>
      <c r="H378" s="64">
        <f>69223837+19400000</f>
        <v>88623837</v>
      </c>
      <c r="I378" s="52"/>
    </row>
    <row r="379" spans="1:14" ht="16.5" customHeight="1" x14ac:dyDescent="0.25">
      <c r="A379" s="207"/>
      <c r="B379" s="208"/>
      <c r="C379" s="182" t="s">
        <v>617</v>
      </c>
      <c r="D379" s="183"/>
      <c r="E379" s="94">
        <v>0.89</v>
      </c>
      <c r="F379" s="174">
        <v>0</v>
      </c>
      <c r="G379" s="117">
        <v>0</v>
      </c>
      <c r="H379" s="64"/>
      <c r="I379" s="52"/>
    </row>
    <row r="380" spans="1:14" ht="29.25" customHeight="1" x14ac:dyDescent="0.25">
      <c r="A380" s="175" t="s">
        <v>162</v>
      </c>
      <c r="B380" s="175"/>
      <c r="C380" s="185" t="s">
        <v>273</v>
      </c>
      <c r="D380" s="186"/>
      <c r="E380" s="57">
        <v>0</v>
      </c>
      <c r="F380" s="174">
        <f>15000000/100000</f>
        <v>150</v>
      </c>
      <c r="G380" s="117">
        <v>0</v>
      </c>
      <c r="H380" s="64"/>
      <c r="I380" s="39"/>
      <c r="J380" s="39"/>
    </row>
    <row r="381" spans="1:14" ht="18.75" customHeight="1" x14ac:dyDescent="0.25">
      <c r="A381" s="200" t="s">
        <v>481</v>
      </c>
      <c r="B381" s="201"/>
      <c r="C381" s="182" t="s">
        <v>451</v>
      </c>
      <c r="D381" s="183"/>
      <c r="E381" s="57">
        <v>0</v>
      </c>
      <c r="F381" s="174">
        <v>0</v>
      </c>
      <c r="G381" s="117">
        <v>7.5</v>
      </c>
      <c r="H381" s="66"/>
    </row>
    <row r="382" spans="1:14" ht="21" customHeight="1" x14ac:dyDescent="0.25">
      <c r="A382" s="207"/>
      <c r="B382" s="208"/>
      <c r="C382" s="182" t="s">
        <v>246</v>
      </c>
      <c r="D382" s="183"/>
      <c r="E382" s="57">
        <v>0</v>
      </c>
      <c r="F382" s="174">
        <v>0</v>
      </c>
      <c r="G382" s="117">
        <v>7.5</v>
      </c>
      <c r="H382" s="66"/>
    </row>
    <row r="383" spans="1:14" ht="18.75" customHeight="1" x14ac:dyDescent="0.25">
      <c r="A383" s="175" t="s">
        <v>275</v>
      </c>
      <c r="B383" s="175"/>
      <c r="C383" s="185" t="s">
        <v>267</v>
      </c>
      <c r="D383" s="185"/>
      <c r="E383" s="50">
        <v>1.5</v>
      </c>
      <c r="F383" s="174">
        <v>0</v>
      </c>
      <c r="G383" s="117">
        <v>0.38</v>
      </c>
      <c r="H383" s="66"/>
    </row>
    <row r="384" spans="1:14" ht="18.75" customHeight="1" x14ac:dyDescent="0.25">
      <c r="A384" s="175"/>
      <c r="B384" s="175"/>
      <c r="C384" s="185" t="s">
        <v>274</v>
      </c>
      <c r="D384" s="186"/>
      <c r="E384" s="38">
        <v>0</v>
      </c>
      <c r="F384" s="47">
        <f>1104000/100000</f>
        <v>11.04</v>
      </c>
      <c r="G384" s="51">
        <v>0</v>
      </c>
      <c r="H384" s="64"/>
    </row>
    <row r="385" spans="1:14" ht="16.5" customHeight="1" x14ac:dyDescent="0.25">
      <c r="A385" s="175"/>
      <c r="B385" s="175"/>
      <c r="C385" s="185" t="s">
        <v>276</v>
      </c>
      <c r="D385" s="186"/>
      <c r="E385" s="167">
        <v>6.82</v>
      </c>
      <c r="F385" s="47">
        <f>486750/100000</f>
        <v>4.8674999999999997</v>
      </c>
      <c r="G385" s="51">
        <v>0</v>
      </c>
      <c r="H385" s="64"/>
    </row>
    <row r="386" spans="1:14" ht="19.5" customHeight="1" x14ac:dyDescent="0.25">
      <c r="A386" s="175"/>
      <c r="B386" s="175"/>
      <c r="C386" s="185" t="s">
        <v>163</v>
      </c>
      <c r="D386" s="186"/>
      <c r="E386" s="167">
        <v>2.76</v>
      </c>
      <c r="F386" s="47">
        <f>264000/100000</f>
        <v>2.64</v>
      </c>
      <c r="G386" s="51">
        <v>0</v>
      </c>
      <c r="H386" s="64"/>
    </row>
    <row r="387" spans="1:14" ht="18.75" customHeight="1" x14ac:dyDescent="0.25">
      <c r="A387" s="175"/>
      <c r="B387" s="175"/>
      <c r="C387" s="185" t="s">
        <v>164</v>
      </c>
      <c r="D387" s="186"/>
      <c r="E387" s="167">
        <v>2.37</v>
      </c>
      <c r="F387" s="47">
        <f>112500/100000</f>
        <v>1.125</v>
      </c>
      <c r="G387" s="51">
        <v>2</v>
      </c>
      <c r="H387" s="64"/>
    </row>
    <row r="388" spans="1:14" ht="18.75" customHeight="1" x14ac:dyDescent="0.25">
      <c r="A388" s="175"/>
      <c r="B388" s="175"/>
      <c r="C388" s="185" t="s">
        <v>277</v>
      </c>
      <c r="D388" s="186"/>
      <c r="E388" s="167">
        <v>13.02</v>
      </c>
      <c r="F388" s="47">
        <f>1061625/100000</f>
        <v>10.616250000000001</v>
      </c>
      <c r="G388" s="51">
        <v>17</v>
      </c>
      <c r="H388" s="64"/>
    </row>
    <row r="389" spans="1:14" ht="21" customHeight="1" x14ac:dyDescent="0.25">
      <c r="A389" s="175"/>
      <c r="B389" s="175"/>
      <c r="C389" s="185" t="s">
        <v>675</v>
      </c>
      <c r="D389" s="185"/>
      <c r="E389" s="50">
        <v>0</v>
      </c>
      <c r="F389" s="174">
        <v>0</v>
      </c>
      <c r="G389" s="117">
        <v>1.06</v>
      </c>
      <c r="H389" s="66">
        <f>E371+E372+E373+E374+E375+E376+E377+E378+E379+E380+E381+E382+E383+E384+E385+E386+E387+E388+E389</f>
        <v>925.28000000000009</v>
      </c>
      <c r="I389" s="118">
        <f>F371+F372+F373+F374+F375+F376+F377+F378+F379+F380+F381+F382+F383+F384+F385+F386+F387+F388+F389</f>
        <v>180.28874999999999</v>
      </c>
      <c r="J389" s="87">
        <f>G371+G372+G373+G374+G375+G376+G377+G378+G379+G380+G381+G382+G383+G384+G385+G386+G387+G388+G389</f>
        <v>70.56</v>
      </c>
    </row>
    <row r="390" spans="1:14" ht="29.65" customHeight="1" x14ac:dyDescent="0.25">
      <c r="A390" s="187" t="s">
        <v>678</v>
      </c>
      <c r="B390" s="187"/>
      <c r="C390" s="187"/>
      <c r="D390" s="187"/>
      <c r="E390" s="187"/>
      <c r="F390" s="187"/>
      <c r="G390" s="187"/>
      <c r="H390" s="166"/>
      <c r="I390" s="42"/>
      <c r="J390" s="42"/>
      <c r="K390" s="42"/>
      <c r="L390" s="42"/>
      <c r="M390" s="42"/>
      <c r="N390" s="42"/>
    </row>
    <row r="391" spans="1:14" x14ac:dyDescent="0.25">
      <c r="A391" s="187" t="s">
        <v>53</v>
      </c>
      <c r="B391" s="187"/>
      <c r="C391" s="187"/>
      <c r="D391" s="187"/>
      <c r="E391" s="187"/>
      <c r="F391" s="187"/>
      <c r="G391" s="187"/>
      <c r="H391" s="166"/>
      <c r="I391" s="42"/>
      <c r="J391" s="42"/>
      <c r="K391" s="42"/>
      <c r="L391" s="42"/>
    </row>
    <row r="392" spans="1:14" x14ac:dyDescent="0.25">
      <c r="A392" s="188" t="s">
        <v>54</v>
      </c>
      <c r="B392" s="188"/>
      <c r="C392" s="188"/>
      <c r="D392" s="188"/>
      <c r="E392" s="188"/>
      <c r="F392" s="188"/>
      <c r="G392" s="188"/>
      <c r="H392" s="168"/>
      <c r="I392" s="44"/>
      <c r="J392" s="44"/>
      <c r="K392" s="44"/>
      <c r="L392" s="44"/>
    </row>
    <row r="393" spans="1:14" x14ac:dyDescent="0.25">
      <c r="A393" s="44"/>
      <c r="B393" s="44"/>
      <c r="C393" s="44"/>
      <c r="D393" s="44"/>
      <c r="E393" s="44"/>
      <c r="G393" s="44"/>
      <c r="H393" s="44"/>
      <c r="I393" s="168"/>
      <c r="J393" s="168"/>
      <c r="K393" s="168"/>
      <c r="L393" s="168"/>
    </row>
    <row r="394" spans="1:14" x14ac:dyDescent="0.25">
      <c r="A394" s="189" t="s">
        <v>244</v>
      </c>
      <c r="B394" s="178"/>
      <c r="C394" s="190" t="s">
        <v>72</v>
      </c>
      <c r="D394" s="190"/>
      <c r="E394" s="190"/>
      <c r="F394" s="190"/>
      <c r="G394" s="191"/>
      <c r="H394" s="173"/>
      <c r="I394" s="168"/>
      <c r="J394" s="168"/>
      <c r="K394" s="168"/>
      <c r="L394" s="44"/>
      <c r="M394" s="44"/>
      <c r="N394" s="168"/>
    </row>
    <row r="395" spans="1:14" x14ac:dyDescent="0.25">
      <c r="A395" s="176" t="s">
        <v>70</v>
      </c>
      <c r="B395" s="177"/>
      <c r="C395" s="176" t="s">
        <v>51</v>
      </c>
      <c r="D395" s="184"/>
      <c r="E395" s="178" t="s">
        <v>99</v>
      </c>
      <c r="F395" s="178"/>
      <c r="G395" s="179"/>
      <c r="H395" s="166"/>
      <c r="I395" s="168"/>
      <c r="J395" s="168"/>
      <c r="K395" s="168"/>
      <c r="L395" s="44"/>
      <c r="M395" s="44"/>
      <c r="N395" s="168"/>
    </row>
    <row r="396" spans="1:14" x14ac:dyDescent="0.25">
      <c r="A396" s="180"/>
      <c r="B396" s="181"/>
      <c r="C396" s="180"/>
      <c r="D396" s="181"/>
      <c r="E396" s="164" t="s">
        <v>597</v>
      </c>
      <c r="F396" s="165" t="s">
        <v>57</v>
      </c>
      <c r="G396" s="165" t="s">
        <v>55</v>
      </c>
      <c r="H396" s="166"/>
      <c r="I396" s="168"/>
      <c r="J396" s="168"/>
      <c r="K396" s="168"/>
      <c r="L396" s="44"/>
      <c r="M396" s="44"/>
      <c r="N396" s="168"/>
    </row>
    <row r="397" spans="1:14" ht="18" customHeight="1" x14ac:dyDescent="0.25">
      <c r="A397" s="175" t="s">
        <v>275</v>
      </c>
      <c r="B397" s="175"/>
      <c r="C397" s="185" t="s">
        <v>165</v>
      </c>
      <c r="D397" s="186"/>
      <c r="E397" s="50">
        <v>0</v>
      </c>
      <c r="F397" s="47">
        <f>150000/100000</f>
        <v>1.5</v>
      </c>
      <c r="G397" s="51">
        <v>0</v>
      </c>
      <c r="H397" s="64"/>
    </row>
    <row r="398" spans="1:14" ht="22.9" customHeight="1" x14ac:dyDescent="0.25">
      <c r="A398" s="175"/>
      <c r="B398" s="175"/>
      <c r="C398" s="185" t="s">
        <v>278</v>
      </c>
      <c r="D398" s="186"/>
      <c r="E398" s="167">
        <v>4.32</v>
      </c>
      <c r="F398" s="47">
        <f>408000/100000</f>
        <v>4.08</v>
      </c>
      <c r="G398" s="51">
        <v>2.76</v>
      </c>
      <c r="H398" s="66"/>
      <c r="I398" s="118"/>
      <c r="J398" s="87"/>
    </row>
    <row r="399" spans="1:14" ht="18" customHeight="1" x14ac:dyDescent="0.25">
      <c r="A399" s="175"/>
      <c r="B399" s="175"/>
      <c r="C399" s="185" t="s">
        <v>280</v>
      </c>
      <c r="D399" s="186"/>
      <c r="E399" s="38">
        <v>0</v>
      </c>
      <c r="F399" s="47">
        <f>386000/100000</f>
        <v>3.86</v>
      </c>
      <c r="G399" s="51">
        <v>4.92</v>
      </c>
      <c r="H399" s="64"/>
    </row>
    <row r="400" spans="1:14" ht="18" customHeight="1" x14ac:dyDescent="0.25">
      <c r="A400" s="175"/>
      <c r="B400" s="175"/>
      <c r="C400" s="185" t="s">
        <v>279</v>
      </c>
      <c r="D400" s="186"/>
      <c r="E400" s="167">
        <v>13.04</v>
      </c>
      <c r="F400" s="47">
        <f>614812/100000</f>
        <v>6.1481199999999996</v>
      </c>
      <c r="G400" s="51">
        <v>5.2</v>
      </c>
      <c r="H400" s="64"/>
      <c r="I400" s="75"/>
      <c r="J400" s="39"/>
      <c r="K400" s="39"/>
    </row>
    <row r="401" spans="1:14" ht="18.75" customHeight="1" x14ac:dyDescent="0.25">
      <c r="A401" s="175"/>
      <c r="B401" s="175"/>
      <c r="C401" s="185" t="s">
        <v>281</v>
      </c>
      <c r="D401" s="186"/>
      <c r="E401" s="167">
        <v>27.55</v>
      </c>
      <c r="F401" s="47">
        <f>1920000/100000</f>
        <v>19.2</v>
      </c>
      <c r="G401" s="51">
        <v>22.95</v>
      </c>
      <c r="H401" s="64"/>
    </row>
    <row r="402" spans="1:14" ht="18.75" customHeight="1" x14ac:dyDescent="0.25">
      <c r="A402" s="175"/>
      <c r="B402" s="175"/>
      <c r="C402" s="185" t="s">
        <v>282</v>
      </c>
      <c r="D402" s="186"/>
      <c r="E402" s="167">
        <v>11.02</v>
      </c>
      <c r="F402" s="47">
        <f>840000/100000</f>
        <v>8.4</v>
      </c>
      <c r="G402" s="51">
        <v>8.9</v>
      </c>
      <c r="H402" s="64"/>
    </row>
    <row r="403" spans="1:14" ht="18.75" customHeight="1" x14ac:dyDescent="0.25">
      <c r="A403" s="175"/>
      <c r="B403" s="175"/>
      <c r="C403" s="185" t="s">
        <v>540</v>
      </c>
      <c r="D403" s="185"/>
      <c r="E403" s="50">
        <v>0</v>
      </c>
      <c r="F403" s="47">
        <v>0</v>
      </c>
      <c r="G403" s="51">
        <v>2.7</v>
      </c>
      <c r="H403" s="64"/>
    </row>
    <row r="404" spans="1:14" ht="23.25" customHeight="1" x14ac:dyDescent="0.25">
      <c r="A404" s="175"/>
      <c r="B404" s="175"/>
      <c r="C404" s="185" t="s">
        <v>541</v>
      </c>
      <c r="D404" s="185"/>
      <c r="E404" s="37">
        <v>3</v>
      </c>
      <c r="F404" s="174">
        <v>0</v>
      </c>
      <c r="G404" s="117">
        <v>7.48</v>
      </c>
      <c r="H404" s="64"/>
      <c r="I404" s="39"/>
      <c r="J404" s="39"/>
    </row>
    <row r="405" spans="1:14" ht="21" customHeight="1" x14ac:dyDescent="0.25">
      <c r="A405" s="175"/>
      <c r="B405" s="175"/>
      <c r="C405" s="185" t="s">
        <v>460</v>
      </c>
      <c r="D405" s="186"/>
      <c r="E405" s="167">
        <v>16.920000000000002</v>
      </c>
      <c r="F405" s="174">
        <f>696000/100000</f>
        <v>6.96</v>
      </c>
      <c r="G405" s="117">
        <v>0</v>
      </c>
      <c r="H405" s="66"/>
    </row>
    <row r="406" spans="1:14" ht="19.5" customHeight="1" x14ac:dyDescent="0.25">
      <c r="A406" s="175"/>
      <c r="B406" s="175"/>
      <c r="C406" s="185" t="s">
        <v>283</v>
      </c>
      <c r="D406" s="186"/>
      <c r="E406" s="38">
        <v>7.1</v>
      </c>
      <c r="F406" s="47">
        <f>774000/100000</f>
        <v>7.74</v>
      </c>
      <c r="G406" s="51">
        <v>6.58</v>
      </c>
      <c r="H406" s="64"/>
    </row>
    <row r="407" spans="1:14" ht="19.5" customHeight="1" x14ac:dyDescent="0.25">
      <c r="A407" s="175"/>
      <c r="B407" s="175"/>
      <c r="C407" s="185" t="s">
        <v>166</v>
      </c>
      <c r="D407" s="186"/>
      <c r="E407" s="38">
        <v>0</v>
      </c>
      <c r="F407" s="47">
        <f>75000/100000</f>
        <v>0.75</v>
      </c>
      <c r="G407" s="51">
        <v>0</v>
      </c>
      <c r="H407" s="64"/>
    </row>
    <row r="408" spans="1:14" ht="16.5" customHeight="1" x14ac:dyDescent="0.25">
      <c r="A408" s="175"/>
      <c r="B408" s="175"/>
      <c r="C408" s="185" t="s">
        <v>284</v>
      </c>
      <c r="D408" s="186"/>
      <c r="E408" s="167">
        <v>7.52</v>
      </c>
      <c r="F408" s="47">
        <f>532000/100000</f>
        <v>5.32</v>
      </c>
      <c r="G408" s="51">
        <v>3.62</v>
      </c>
      <c r="H408" s="64"/>
    </row>
    <row r="409" spans="1:14" ht="16.5" customHeight="1" x14ac:dyDescent="0.25">
      <c r="A409" s="175"/>
      <c r="B409" s="175"/>
      <c r="C409" s="185" t="s">
        <v>285</v>
      </c>
      <c r="D409" s="186"/>
      <c r="E409" s="167">
        <v>10.35</v>
      </c>
      <c r="F409" s="47">
        <f>885337/100000</f>
        <v>8.85337</v>
      </c>
      <c r="G409" s="51">
        <v>0</v>
      </c>
      <c r="H409" s="64"/>
    </row>
    <row r="410" spans="1:14" ht="18.75" customHeight="1" x14ac:dyDescent="0.25">
      <c r="A410" s="175"/>
      <c r="B410" s="175"/>
      <c r="C410" s="185" t="s">
        <v>286</v>
      </c>
      <c r="D410" s="186"/>
      <c r="E410" s="167">
        <v>9.15</v>
      </c>
      <c r="F410" s="47">
        <f>840000/100000</f>
        <v>8.4</v>
      </c>
      <c r="G410" s="51">
        <v>8.4</v>
      </c>
      <c r="H410" s="64"/>
      <c r="I410" s="52"/>
    </row>
    <row r="411" spans="1:14" ht="30" customHeight="1" x14ac:dyDescent="0.25">
      <c r="A411" s="175"/>
      <c r="B411" s="175"/>
      <c r="C411" s="185" t="s">
        <v>287</v>
      </c>
      <c r="D411" s="186"/>
      <c r="E411" s="57">
        <v>20.7</v>
      </c>
      <c r="F411" s="174">
        <f>3840000/100000</f>
        <v>38.4</v>
      </c>
      <c r="G411" s="60">
        <v>0</v>
      </c>
      <c r="H411" s="61"/>
    </row>
    <row r="412" spans="1:14" ht="19.5" customHeight="1" x14ac:dyDescent="0.25">
      <c r="A412" s="175"/>
      <c r="B412" s="175"/>
      <c r="C412" s="185" t="s">
        <v>167</v>
      </c>
      <c r="D412" s="186"/>
      <c r="E412" s="38">
        <v>3</v>
      </c>
      <c r="F412" s="47">
        <f>1104000/100000</f>
        <v>11.04</v>
      </c>
      <c r="G412" s="48">
        <v>2.4500000000000002</v>
      </c>
      <c r="H412" s="49"/>
    </row>
    <row r="413" spans="1:14" ht="19.5" customHeight="1" x14ac:dyDescent="0.25">
      <c r="A413" s="175"/>
      <c r="B413" s="175"/>
      <c r="C413" s="185" t="s">
        <v>557</v>
      </c>
      <c r="D413" s="185"/>
      <c r="E413" s="37">
        <v>0</v>
      </c>
      <c r="F413" s="174">
        <v>0</v>
      </c>
      <c r="G413" s="60">
        <v>0.5</v>
      </c>
      <c r="H413" s="49"/>
    </row>
    <row r="414" spans="1:14" ht="19.5" customHeight="1" x14ac:dyDescent="0.25">
      <c r="A414" s="175"/>
      <c r="B414" s="175"/>
      <c r="C414" s="185" t="s">
        <v>288</v>
      </c>
      <c r="D414" s="186"/>
      <c r="E414" s="167">
        <v>13.92</v>
      </c>
      <c r="F414" s="47">
        <f>564000/100000</f>
        <v>5.64</v>
      </c>
      <c r="G414" s="48">
        <v>0</v>
      </c>
      <c r="H414" s="49"/>
    </row>
    <row r="415" spans="1:14" ht="19.5" customHeight="1" x14ac:dyDescent="0.25">
      <c r="A415" s="175"/>
      <c r="B415" s="175"/>
      <c r="C415" s="185" t="s">
        <v>547</v>
      </c>
      <c r="D415" s="186"/>
      <c r="E415" s="167">
        <v>4.08</v>
      </c>
      <c r="F415" s="47">
        <f>816000/100000</f>
        <v>8.16</v>
      </c>
      <c r="G415" s="48">
        <v>0.31</v>
      </c>
      <c r="H415" s="49">
        <f>E397+E398+E399+E400+E401+E402+E403+E404+E405+E406+E407+E408+E409+E410+E411+E412+E413+E414+E415</f>
        <v>151.66999999999999</v>
      </c>
      <c r="I415" s="58">
        <f>F397+F398+F399+F400+F401+F402+F403+F404+F405+F406+F407+F408+F409+F410+F411+F412+F413+F414+F415</f>
        <v>144.45148999999998</v>
      </c>
      <c r="J415" s="39">
        <f>G397+G398+G399+G400+G401+G402+G403+G404+G405+G406+G407+G408+G409+G410+G411+G412+G413+G414+G415</f>
        <v>76.77000000000001</v>
      </c>
    </row>
    <row r="416" spans="1:14" ht="30" customHeight="1" x14ac:dyDescent="0.25">
      <c r="A416" s="187" t="s">
        <v>678</v>
      </c>
      <c r="B416" s="187"/>
      <c r="C416" s="187"/>
      <c r="D416" s="187"/>
      <c r="E416" s="187"/>
      <c r="F416" s="187"/>
      <c r="G416" s="187"/>
      <c r="H416" s="166"/>
      <c r="I416" s="42"/>
      <c r="J416" s="42"/>
      <c r="K416" s="42"/>
      <c r="L416" s="42"/>
      <c r="M416" s="42"/>
      <c r="N416" s="42"/>
    </row>
    <row r="417" spans="1:14" x14ac:dyDescent="0.25">
      <c r="A417" s="187" t="s">
        <v>53</v>
      </c>
      <c r="B417" s="187"/>
      <c r="C417" s="187"/>
      <c r="D417" s="187"/>
      <c r="E417" s="187"/>
      <c r="F417" s="187"/>
      <c r="G417" s="187"/>
      <c r="H417" s="166"/>
      <c r="I417" s="42"/>
      <c r="J417" s="42"/>
      <c r="K417" s="42"/>
      <c r="L417" s="42"/>
    </row>
    <row r="418" spans="1:14" x14ac:dyDescent="0.25">
      <c r="A418" s="188" t="s">
        <v>54</v>
      </c>
      <c r="B418" s="188"/>
      <c r="C418" s="188"/>
      <c r="D418" s="188"/>
      <c r="E418" s="188"/>
      <c r="F418" s="188"/>
      <c r="G418" s="188"/>
      <c r="H418" s="168"/>
      <c r="I418" s="44"/>
      <c r="J418" s="44"/>
      <c r="K418" s="44"/>
      <c r="L418" s="44"/>
    </row>
    <row r="419" spans="1:14" x14ac:dyDescent="0.25">
      <c r="A419" s="44"/>
      <c r="B419" s="44"/>
      <c r="C419" s="44"/>
      <c r="D419" s="44"/>
      <c r="E419" s="44"/>
      <c r="G419" s="44"/>
      <c r="H419" s="44"/>
      <c r="I419" s="168"/>
      <c r="J419" s="168"/>
      <c r="K419" s="168"/>
      <c r="L419" s="168"/>
    </row>
    <row r="420" spans="1:14" x14ac:dyDescent="0.25">
      <c r="A420" s="189" t="s">
        <v>244</v>
      </c>
      <c r="B420" s="178"/>
      <c r="C420" s="190" t="s">
        <v>72</v>
      </c>
      <c r="D420" s="190"/>
      <c r="E420" s="190"/>
      <c r="F420" s="190"/>
      <c r="G420" s="191"/>
      <c r="H420" s="173"/>
      <c r="I420" s="168"/>
      <c r="J420" s="168"/>
      <c r="K420" s="168"/>
      <c r="L420" s="44"/>
      <c r="M420" s="44"/>
      <c r="N420" s="168"/>
    </row>
    <row r="421" spans="1:14" x14ac:dyDescent="0.25">
      <c r="A421" s="176" t="s">
        <v>70</v>
      </c>
      <c r="B421" s="177"/>
      <c r="C421" s="176" t="s">
        <v>51</v>
      </c>
      <c r="D421" s="184"/>
      <c r="E421" s="178" t="s">
        <v>99</v>
      </c>
      <c r="F421" s="178"/>
      <c r="G421" s="179"/>
      <c r="H421" s="166"/>
      <c r="I421" s="168"/>
      <c r="J421" s="168"/>
      <c r="K421" s="168"/>
      <c r="L421" s="44"/>
      <c r="M421" s="44"/>
      <c r="N421" s="168"/>
    </row>
    <row r="422" spans="1:14" x14ac:dyDescent="0.25">
      <c r="A422" s="180"/>
      <c r="B422" s="181"/>
      <c r="C422" s="180"/>
      <c r="D422" s="181"/>
      <c r="E422" s="164" t="s">
        <v>597</v>
      </c>
      <c r="F422" s="165" t="s">
        <v>57</v>
      </c>
      <c r="G422" s="165" t="s">
        <v>55</v>
      </c>
      <c r="H422" s="166"/>
      <c r="I422" s="168"/>
      <c r="J422" s="168"/>
      <c r="K422" s="168"/>
      <c r="L422" s="44"/>
      <c r="M422" s="44"/>
      <c r="N422" s="168"/>
    </row>
    <row r="423" spans="1:14" ht="19.5" customHeight="1" x14ac:dyDescent="0.25">
      <c r="A423" s="175" t="s">
        <v>275</v>
      </c>
      <c r="B423" s="175"/>
      <c r="C423" s="183" t="s">
        <v>168</v>
      </c>
      <c r="D423" s="186"/>
      <c r="E423" s="167">
        <v>20.82</v>
      </c>
      <c r="F423" s="47">
        <f>879750/100000</f>
        <v>8.7974999999999994</v>
      </c>
      <c r="G423" s="48">
        <v>2.76</v>
      </c>
      <c r="H423" s="49"/>
    </row>
    <row r="424" spans="1:14" ht="19.5" customHeight="1" x14ac:dyDescent="0.25">
      <c r="A424" s="175"/>
      <c r="B424" s="175"/>
      <c r="C424" s="183" t="s">
        <v>289</v>
      </c>
      <c r="D424" s="186"/>
      <c r="E424" s="167">
        <v>14.16</v>
      </c>
      <c r="F424" s="47">
        <f>1416000/100000</f>
        <v>14.16</v>
      </c>
      <c r="G424" s="48">
        <v>28.32</v>
      </c>
      <c r="H424" s="61"/>
      <c r="I424" s="56"/>
      <c r="J424" s="87"/>
    </row>
    <row r="425" spans="1:14" ht="19.5" customHeight="1" x14ac:dyDescent="0.25">
      <c r="A425" s="175"/>
      <c r="B425" s="175"/>
      <c r="C425" s="183" t="s">
        <v>169</v>
      </c>
      <c r="D425" s="186"/>
      <c r="E425" s="167">
        <v>23.42</v>
      </c>
      <c r="F425" s="47">
        <f>2262135/100000</f>
        <v>22.62135</v>
      </c>
      <c r="G425" s="48">
        <v>18.649999999999999</v>
      </c>
      <c r="H425" s="49"/>
      <c r="I425" s="39"/>
      <c r="J425" s="39"/>
    </row>
    <row r="426" spans="1:14" ht="19.5" customHeight="1" x14ac:dyDescent="0.25">
      <c r="A426" s="175"/>
      <c r="B426" s="175"/>
      <c r="C426" s="183" t="s">
        <v>170</v>
      </c>
      <c r="D426" s="186"/>
      <c r="E426" s="167">
        <v>7.05</v>
      </c>
      <c r="F426" s="47">
        <f>504000/100000</f>
        <v>5.04</v>
      </c>
      <c r="G426" s="48">
        <v>6.8</v>
      </c>
      <c r="H426" s="49"/>
    </row>
    <row r="427" spans="1:14" ht="20.25" customHeight="1" x14ac:dyDescent="0.25">
      <c r="A427" s="175"/>
      <c r="B427" s="175"/>
      <c r="C427" s="183" t="s">
        <v>572</v>
      </c>
      <c r="D427" s="185"/>
      <c r="E427" s="62">
        <v>2.64</v>
      </c>
      <c r="F427" s="174">
        <v>0</v>
      </c>
      <c r="G427" s="60">
        <v>0</v>
      </c>
      <c r="H427" s="61"/>
    </row>
    <row r="428" spans="1:14" ht="19.5" customHeight="1" x14ac:dyDescent="0.25">
      <c r="A428" s="175"/>
      <c r="B428" s="175"/>
      <c r="C428" s="183" t="s">
        <v>290</v>
      </c>
      <c r="D428" s="186"/>
      <c r="E428" s="38">
        <v>9.1999999999999993</v>
      </c>
      <c r="F428" s="47">
        <f>1319000/100000</f>
        <v>13.19</v>
      </c>
      <c r="G428" s="48">
        <v>3.5</v>
      </c>
      <c r="H428" s="49"/>
    </row>
    <row r="429" spans="1:14" ht="19.5" customHeight="1" x14ac:dyDescent="0.25">
      <c r="A429" s="175"/>
      <c r="B429" s="175"/>
      <c r="C429" s="183" t="s">
        <v>573</v>
      </c>
      <c r="D429" s="185"/>
      <c r="E429" s="62">
        <v>1.98</v>
      </c>
      <c r="F429" s="174">
        <v>0</v>
      </c>
      <c r="G429" s="60">
        <v>0</v>
      </c>
      <c r="H429" s="61"/>
    </row>
    <row r="430" spans="1:14" ht="21.75" customHeight="1" x14ac:dyDescent="0.25">
      <c r="A430" s="175"/>
      <c r="B430" s="175"/>
      <c r="C430" s="183" t="s">
        <v>291</v>
      </c>
      <c r="D430" s="186"/>
      <c r="E430" s="57">
        <v>8.4</v>
      </c>
      <c r="F430" s="174">
        <f>1680000/100000</f>
        <v>16.8</v>
      </c>
      <c r="G430" s="60">
        <v>8.4</v>
      </c>
      <c r="H430" s="49"/>
    </row>
    <row r="431" spans="1:14" ht="17.649999999999999" customHeight="1" x14ac:dyDescent="0.25">
      <c r="A431" s="175"/>
      <c r="B431" s="175"/>
      <c r="C431" s="183" t="s">
        <v>292</v>
      </c>
      <c r="D431" s="186"/>
      <c r="E431" s="167">
        <v>12.72</v>
      </c>
      <c r="F431" s="47">
        <f>1272000/100000</f>
        <v>12.72</v>
      </c>
      <c r="G431" s="48">
        <v>13.14</v>
      </c>
      <c r="H431" s="49"/>
      <c r="I431" s="39"/>
      <c r="J431" s="39"/>
    </row>
    <row r="432" spans="1:14" ht="35.25" customHeight="1" x14ac:dyDescent="0.25">
      <c r="A432" s="175"/>
      <c r="B432" s="175"/>
      <c r="C432" s="183" t="s">
        <v>293</v>
      </c>
      <c r="D432" s="186"/>
      <c r="E432" s="170">
        <v>20.04</v>
      </c>
      <c r="F432" s="174">
        <f>1704000/100000</f>
        <v>17.04</v>
      </c>
      <c r="G432" s="60">
        <v>17.04</v>
      </c>
      <c r="H432" s="61"/>
    </row>
    <row r="433" spans="1:14" ht="18" customHeight="1" x14ac:dyDescent="0.25">
      <c r="A433" s="175"/>
      <c r="B433" s="175"/>
      <c r="C433" s="183" t="s">
        <v>294</v>
      </c>
      <c r="D433" s="186"/>
      <c r="E433" s="167">
        <v>1.87</v>
      </c>
      <c r="F433" s="47">
        <f>262500/100000</f>
        <v>2.625</v>
      </c>
      <c r="G433" s="60">
        <v>0</v>
      </c>
      <c r="H433" s="49"/>
    </row>
    <row r="434" spans="1:14" ht="19.5" customHeight="1" x14ac:dyDescent="0.25">
      <c r="A434" s="175"/>
      <c r="B434" s="175"/>
      <c r="C434" s="183" t="s">
        <v>295</v>
      </c>
      <c r="D434" s="186"/>
      <c r="E434" s="38">
        <v>38.4</v>
      </c>
      <c r="F434" s="47">
        <f>3840000/100000</f>
        <v>38.4</v>
      </c>
      <c r="G434" s="60">
        <v>0</v>
      </c>
      <c r="H434" s="49"/>
    </row>
    <row r="435" spans="1:14" ht="19.5" customHeight="1" x14ac:dyDescent="0.25">
      <c r="A435" s="175"/>
      <c r="B435" s="175"/>
      <c r="C435" s="192" t="s">
        <v>667</v>
      </c>
      <c r="D435" s="183"/>
      <c r="E435" s="50">
        <v>3.04</v>
      </c>
      <c r="F435" s="47">
        <v>0</v>
      </c>
      <c r="G435" s="47">
        <v>0</v>
      </c>
      <c r="H435" s="64"/>
    </row>
    <row r="436" spans="1:14" ht="19.5" customHeight="1" x14ac:dyDescent="0.25">
      <c r="A436" s="175"/>
      <c r="B436" s="175"/>
      <c r="C436" s="183" t="s">
        <v>296</v>
      </c>
      <c r="D436" s="186"/>
      <c r="E436" s="170">
        <v>7.86</v>
      </c>
      <c r="F436" s="174">
        <f>752000/100000</f>
        <v>7.52</v>
      </c>
      <c r="G436" s="60">
        <v>0</v>
      </c>
      <c r="H436" s="49"/>
    </row>
    <row r="437" spans="1:14" ht="30.4" customHeight="1" x14ac:dyDescent="0.25">
      <c r="A437" s="175"/>
      <c r="B437" s="175"/>
      <c r="C437" s="206" t="s">
        <v>590</v>
      </c>
      <c r="D437" s="194"/>
      <c r="E437" s="170">
        <v>0.75</v>
      </c>
      <c r="F437" s="174">
        <f>262500/100000</f>
        <v>2.625</v>
      </c>
      <c r="G437" s="60">
        <v>0</v>
      </c>
      <c r="H437" s="61"/>
    </row>
    <row r="438" spans="1:14" ht="22.5" customHeight="1" x14ac:dyDescent="0.25">
      <c r="A438" s="175"/>
      <c r="B438" s="175"/>
      <c r="C438" s="183" t="s">
        <v>297</v>
      </c>
      <c r="D438" s="186"/>
      <c r="E438" s="167">
        <v>17.68</v>
      </c>
      <c r="F438" s="47">
        <f>696000/100000</f>
        <v>6.96</v>
      </c>
      <c r="G438" s="48">
        <v>6.3</v>
      </c>
      <c r="H438" s="49"/>
    </row>
    <row r="439" spans="1:14" ht="24.75" customHeight="1" x14ac:dyDescent="0.25">
      <c r="A439" s="175"/>
      <c r="B439" s="175"/>
      <c r="C439" s="182" t="s">
        <v>618</v>
      </c>
      <c r="D439" s="183"/>
      <c r="E439" s="167">
        <v>13.41</v>
      </c>
      <c r="F439" s="47">
        <v>0</v>
      </c>
      <c r="G439" s="60">
        <v>0</v>
      </c>
      <c r="H439" s="49">
        <f>E423+E424+E425+E426+E427+E428+E429+E430+E431+E432+E433+E434+E435+E436+E437+E438+E439</f>
        <v>203.44000000000003</v>
      </c>
      <c r="I439" s="58">
        <f>F423+F424+F425+F426+F427+F428+F429+F430+F431+F432+F433+F434+F435+F436+F437+F438+F439</f>
        <v>168.49885000000003</v>
      </c>
      <c r="J439" s="58">
        <f>G424+G423+G425+G426+G427+G428+G429+G430+G431+G432+G433+G434+G435+G436+G437+G438+G439</f>
        <v>104.90999999999998</v>
      </c>
    </row>
    <row r="440" spans="1:14" ht="29.25" customHeight="1" x14ac:dyDescent="0.25">
      <c r="A440" s="187" t="s">
        <v>678</v>
      </c>
      <c r="B440" s="187"/>
      <c r="C440" s="187"/>
      <c r="D440" s="187"/>
      <c r="E440" s="187"/>
      <c r="F440" s="187"/>
      <c r="G440" s="187"/>
      <c r="H440" s="166"/>
      <c r="I440" s="42"/>
      <c r="J440" s="42"/>
      <c r="K440" s="42"/>
      <c r="L440" s="42"/>
      <c r="M440" s="42"/>
      <c r="N440" s="42"/>
    </row>
    <row r="441" spans="1:14" x14ac:dyDescent="0.25">
      <c r="A441" s="187" t="s">
        <v>53</v>
      </c>
      <c r="B441" s="187"/>
      <c r="C441" s="187"/>
      <c r="D441" s="187"/>
      <c r="E441" s="187"/>
      <c r="F441" s="187"/>
      <c r="G441" s="187"/>
      <c r="H441" s="166"/>
      <c r="I441" s="42"/>
      <c r="J441" s="42"/>
      <c r="K441" s="42"/>
      <c r="L441" s="42"/>
    </row>
    <row r="442" spans="1:14" x14ac:dyDescent="0.25">
      <c r="A442" s="188" t="s">
        <v>54</v>
      </c>
      <c r="B442" s="188"/>
      <c r="C442" s="188"/>
      <c r="D442" s="188"/>
      <c r="E442" s="188"/>
      <c r="F442" s="188"/>
      <c r="G442" s="188"/>
      <c r="H442" s="168"/>
      <c r="I442" s="44"/>
      <c r="J442" s="44"/>
      <c r="K442" s="44"/>
      <c r="L442" s="44"/>
    </row>
    <row r="443" spans="1:14" x14ac:dyDescent="0.25">
      <c r="A443" s="44"/>
      <c r="B443" s="44"/>
      <c r="C443" s="44"/>
      <c r="D443" s="44"/>
      <c r="E443" s="44"/>
      <c r="G443" s="44"/>
      <c r="H443" s="44"/>
      <c r="I443" s="168"/>
      <c r="J443" s="168"/>
      <c r="K443" s="168"/>
      <c r="L443" s="168"/>
    </row>
    <row r="444" spans="1:14" x14ac:dyDescent="0.25">
      <c r="A444" s="189" t="s">
        <v>244</v>
      </c>
      <c r="B444" s="178"/>
      <c r="C444" s="190" t="s">
        <v>72</v>
      </c>
      <c r="D444" s="190"/>
      <c r="E444" s="190"/>
      <c r="F444" s="190"/>
      <c r="G444" s="191"/>
      <c r="H444" s="173"/>
      <c r="I444" s="168"/>
      <c r="J444" s="168"/>
      <c r="K444" s="168"/>
      <c r="L444" s="44"/>
      <c r="M444" s="44"/>
      <c r="N444" s="168"/>
    </row>
    <row r="445" spans="1:14" x14ac:dyDescent="0.25">
      <c r="A445" s="176" t="s">
        <v>70</v>
      </c>
      <c r="B445" s="177"/>
      <c r="C445" s="176" t="s">
        <v>51</v>
      </c>
      <c r="D445" s="184"/>
      <c r="E445" s="178" t="s">
        <v>99</v>
      </c>
      <c r="F445" s="178"/>
      <c r="G445" s="179"/>
      <c r="H445" s="166"/>
      <c r="I445" s="168"/>
      <c r="J445" s="168"/>
      <c r="K445" s="168"/>
      <c r="L445" s="44"/>
      <c r="M445" s="44"/>
      <c r="N445" s="168"/>
    </row>
    <row r="446" spans="1:14" x14ac:dyDescent="0.25">
      <c r="A446" s="180"/>
      <c r="B446" s="181"/>
      <c r="C446" s="180"/>
      <c r="D446" s="181"/>
      <c r="E446" s="164" t="s">
        <v>597</v>
      </c>
      <c r="F446" s="165" t="s">
        <v>57</v>
      </c>
      <c r="G446" s="165" t="s">
        <v>55</v>
      </c>
      <c r="H446" s="166"/>
      <c r="I446" s="168"/>
      <c r="J446" s="168"/>
      <c r="K446" s="168"/>
      <c r="L446" s="44"/>
      <c r="M446" s="44"/>
      <c r="N446" s="168"/>
    </row>
    <row r="447" spans="1:14" ht="21" customHeight="1" x14ac:dyDescent="0.25">
      <c r="A447" s="175" t="s">
        <v>275</v>
      </c>
      <c r="B447" s="175"/>
      <c r="C447" s="185" t="s">
        <v>298</v>
      </c>
      <c r="D447" s="186"/>
      <c r="E447" s="167">
        <v>4.32</v>
      </c>
      <c r="F447" s="47">
        <f>552000/100000</f>
        <v>5.52</v>
      </c>
      <c r="G447" s="48">
        <v>8.17</v>
      </c>
      <c r="H447" s="49"/>
    </row>
    <row r="448" spans="1:14" ht="18.75" customHeight="1" x14ac:dyDescent="0.25">
      <c r="A448" s="175"/>
      <c r="B448" s="175"/>
      <c r="C448" s="182" t="s">
        <v>619</v>
      </c>
      <c r="D448" s="183"/>
      <c r="E448" s="167">
        <v>5.52</v>
      </c>
      <c r="F448" s="47">
        <v>0</v>
      </c>
      <c r="G448" s="60">
        <v>0</v>
      </c>
      <c r="H448" s="49"/>
    </row>
    <row r="449" spans="1:10" ht="18.75" customHeight="1" x14ac:dyDescent="0.25">
      <c r="A449" s="175"/>
      <c r="B449" s="175"/>
      <c r="C449" s="185" t="s">
        <v>171</v>
      </c>
      <c r="D449" s="186"/>
      <c r="E449" s="38">
        <v>8.4</v>
      </c>
      <c r="F449" s="47">
        <f>1573000/100000</f>
        <v>15.73</v>
      </c>
      <c r="G449" s="48">
        <v>0</v>
      </c>
      <c r="H449" s="61"/>
      <c r="I449" s="56"/>
      <c r="J449" s="56"/>
    </row>
    <row r="450" spans="1:10" ht="16.5" customHeight="1" x14ac:dyDescent="0.25">
      <c r="A450" s="175"/>
      <c r="B450" s="175"/>
      <c r="C450" s="185" t="s">
        <v>299</v>
      </c>
      <c r="D450" s="186"/>
      <c r="E450" s="167">
        <v>22.56</v>
      </c>
      <c r="F450" s="47">
        <f>150000/100000</f>
        <v>1.5</v>
      </c>
      <c r="G450" s="48">
        <v>10.76</v>
      </c>
      <c r="H450" s="49"/>
    </row>
    <row r="451" spans="1:10" ht="18.75" customHeight="1" x14ac:dyDescent="0.25">
      <c r="A451" s="175"/>
      <c r="B451" s="175"/>
      <c r="C451" s="185" t="s">
        <v>300</v>
      </c>
      <c r="D451" s="186"/>
      <c r="E451" s="167">
        <v>0.25</v>
      </c>
      <c r="F451" s="47">
        <f>75000/100000</f>
        <v>0.75</v>
      </c>
      <c r="G451" s="48">
        <v>0</v>
      </c>
      <c r="H451" s="49"/>
    </row>
    <row r="452" spans="1:10" ht="18.75" customHeight="1" x14ac:dyDescent="0.25">
      <c r="A452" s="175"/>
      <c r="B452" s="175"/>
      <c r="C452" s="185" t="s">
        <v>301</v>
      </c>
      <c r="D452" s="186"/>
      <c r="E452" s="167">
        <v>11.09</v>
      </c>
      <c r="F452" s="47">
        <f>781500/100000</f>
        <v>7.8150000000000004</v>
      </c>
      <c r="G452" s="48">
        <v>6.77</v>
      </c>
      <c r="H452" s="49"/>
      <c r="I452" s="58"/>
      <c r="J452" s="58"/>
    </row>
    <row r="453" spans="1:10" ht="19.5" customHeight="1" x14ac:dyDescent="0.25">
      <c r="A453" s="175"/>
      <c r="B453" s="175"/>
      <c r="C453" s="185" t="s">
        <v>302</v>
      </c>
      <c r="D453" s="186"/>
      <c r="E453" s="167">
        <v>16.68</v>
      </c>
      <c r="F453" s="47">
        <f>1632000/100000</f>
        <v>16.32</v>
      </c>
      <c r="G453" s="48">
        <v>0</v>
      </c>
      <c r="H453" s="49"/>
    </row>
    <row r="454" spans="1:10" ht="33" customHeight="1" x14ac:dyDescent="0.25">
      <c r="A454" s="175"/>
      <c r="B454" s="175"/>
      <c r="C454" s="193" t="s">
        <v>303</v>
      </c>
      <c r="D454" s="194"/>
      <c r="E454" s="170">
        <v>10.27</v>
      </c>
      <c r="F454" s="174">
        <f>840000/100000</f>
        <v>8.4</v>
      </c>
      <c r="G454" s="60">
        <v>13.53</v>
      </c>
      <c r="H454" s="61"/>
    </row>
    <row r="455" spans="1:10" ht="22.5" customHeight="1" x14ac:dyDescent="0.25">
      <c r="A455" s="175"/>
      <c r="B455" s="175"/>
      <c r="C455" s="185" t="s">
        <v>304</v>
      </c>
      <c r="D455" s="186"/>
      <c r="E455" s="167">
        <v>4.08</v>
      </c>
      <c r="F455" s="47">
        <f>408000/100000</f>
        <v>4.08</v>
      </c>
      <c r="G455" s="51">
        <v>2.76</v>
      </c>
      <c r="H455" s="64"/>
      <c r="I455" s="52"/>
    </row>
    <row r="456" spans="1:10" ht="19.5" customHeight="1" x14ac:dyDescent="0.25">
      <c r="A456" s="175"/>
      <c r="B456" s="175"/>
      <c r="C456" s="185" t="s">
        <v>172</v>
      </c>
      <c r="D456" s="186"/>
      <c r="E456" s="167">
        <v>2.5499999999999998</v>
      </c>
      <c r="F456" s="47">
        <f>187500/100000</f>
        <v>1.875</v>
      </c>
      <c r="G456" s="51">
        <v>0</v>
      </c>
      <c r="H456" s="64"/>
      <c r="I456" s="58"/>
      <c r="J456" s="58"/>
    </row>
    <row r="457" spans="1:10" ht="19.5" customHeight="1" x14ac:dyDescent="0.25">
      <c r="A457" s="175"/>
      <c r="B457" s="175"/>
      <c r="C457" s="185" t="s">
        <v>305</v>
      </c>
      <c r="D457" s="186"/>
      <c r="E457" s="38">
        <v>8.4</v>
      </c>
      <c r="F457" s="47">
        <f>802500/100000</f>
        <v>8.0250000000000004</v>
      </c>
      <c r="G457" s="51">
        <v>5.53</v>
      </c>
      <c r="H457" s="64"/>
    </row>
    <row r="458" spans="1:10" ht="19.5" customHeight="1" x14ac:dyDescent="0.25">
      <c r="A458" s="175"/>
      <c r="B458" s="175"/>
      <c r="C458" s="185" t="s">
        <v>306</v>
      </c>
      <c r="D458" s="186"/>
      <c r="E458" s="167">
        <v>6.52</v>
      </c>
      <c r="F458" s="47">
        <f>492000/100000</f>
        <v>4.92</v>
      </c>
      <c r="G458" s="51">
        <v>4.1399999999999997</v>
      </c>
      <c r="H458" s="64"/>
    </row>
    <row r="459" spans="1:10" ht="19.5" customHeight="1" x14ac:dyDescent="0.25">
      <c r="A459" s="175"/>
      <c r="B459" s="175"/>
      <c r="C459" s="185" t="s">
        <v>307</v>
      </c>
      <c r="D459" s="186"/>
      <c r="E459" s="167">
        <v>4.08</v>
      </c>
      <c r="F459" s="47">
        <f>408000/100000</f>
        <v>4.08</v>
      </c>
      <c r="G459" s="51">
        <v>2.81</v>
      </c>
      <c r="H459" s="64"/>
    </row>
    <row r="460" spans="1:10" ht="19.5" customHeight="1" x14ac:dyDescent="0.25">
      <c r="A460" s="175"/>
      <c r="B460" s="175"/>
      <c r="C460" s="182" t="s">
        <v>620</v>
      </c>
      <c r="D460" s="183"/>
      <c r="E460" s="167">
        <v>1.54</v>
      </c>
      <c r="F460" s="47">
        <v>0</v>
      </c>
      <c r="G460" s="47">
        <v>0</v>
      </c>
      <c r="H460" s="64"/>
    </row>
    <row r="461" spans="1:10" ht="19.5" customHeight="1" x14ac:dyDescent="0.25">
      <c r="A461" s="175"/>
      <c r="B461" s="175"/>
      <c r="C461" s="185" t="s">
        <v>173</v>
      </c>
      <c r="D461" s="186"/>
      <c r="E461" s="167">
        <v>6.17</v>
      </c>
      <c r="F461" s="47">
        <f>360000/100000</f>
        <v>3.6</v>
      </c>
      <c r="G461" s="51">
        <v>5.98</v>
      </c>
      <c r="H461" s="64"/>
    </row>
    <row r="462" spans="1:10" ht="19.5" customHeight="1" x14ac:dyDescent="0.25">
      <c r="A462" s="175"/>
      <c r="B462" s="175"/>
      <c r="C462" s="185" t="s">
        <v>542</v>
      </c>
      <c r="D462" s="185"/>
      <c r="E462" s="62">
        <v>10.35</v>
      </c>
      <c r="F462" s="47">
        <v>0</v>
      </c>
      <c r="G462" s="51">
        <v>4.99</v>
      </c>
      <c r="H462" s="64"/>
    </row>
    <row r="463" spans="1:10" ht="21.75" customHeight="1" x14ac:dyDescent="0.25">
      <c r="A463" s="175"/>
      <c r="B463" s="175"/>
      <c r="C463" s="185" t="s">
        <v>308</v>
      </c>
      <c r="D463" s="186"/>
      <c r="E463" s="167">
        <v>8.02</v>
      </c>
      <c r="F463" s="47">
        <f>865625/100000</f>
        <v>8.65625</v>
      </c>
      <c r="G463" s="51">
        <v>8.17</v>
      </c>
      <c r="H463" s="64"/>
    </row>
    <row r="464" spans="1:10" ht="21.75" customHeight="1" x14ac:dyDescent="0.25">
      <c r="A464" s="175"/>
      <c r="B464" s="175"/>
      <c r="C464" s="185" t="s">
        <v>309</v>
      </c>
      <c r="D464" s="186"/>
      <c r="E464" s="167">
        <v>4.08</v>
      </c>
      <c r="F464" s="47">
        <f>408000/100000</f>
        <v>4.08</v>
      </c>
      <c r="G464" s="51">
        <v>3.9</v>
      </c>
      <c r="H464" s="64">
        <f>E447+E448+E449+E450+E451+E452+E453+E454+E455+E456+E457+E458+E459+E460+E461+E462+E463+E464</f>
        <v>134.88</v>
      </c>
      <c r="I464" s="58">
        <f>F447+F448+F449+F450+F451+F452+F453+F454+F455+F456+F457+F458+F459+F460+F461+F462+F463+F464</f>
        <v>95.351249999999993</v>
      </c>
      <c r="J464" s="58">
        <f>G447+G448+G449+G450+G451+G452+G453+G454+G455+G456+G457+G458+G459+G460+G461+G462+G463+G464</f>
        <v>77.510000000000005</v>
      </c>
    </row>
    <row r="465" spans="1:14" ht="29.25" customHeight="1" x14ac:dyDescent="0.25">
      <c r="A465" s="187" t="s">
        <v>678</v>
      </c>
      <c r="B465" s="187"/>
      <c r="C465" s="187"/>
      <c r="D465" s="187"/>
      <c r="E465" s="187"/>
      <c r="F465" s="187"/>
      <c r="G465" s="187"/>
      <c r="H465" s="166"/>
      <c r="I465" s="42"/>
      <c r="J465" s="42"/>
      <c r="K465" s="42"/>
      <c r="L465" s="42"/>
      <c r="M465" s="42"/>
      <c r="N465" s="42"/>
    </row>
    <row r="466" spans="1:14" x14ac:dyDescent="0.25">
      <c r="A466" s="187" t="s">
        <v>53</v>
      </c>
      <c r="B466" s="187"/>
      <c r="C466" s="187"/>
      <c r="D466" s="187"/>
      <c r="E466" s="187"/>
      <c r="F466" s="187"/>
      <c r="G466" s="187"/>
      <c r="H466" s="166"/>
      <c r="I466" s="42"/>
      <c r="J466" s="42"/>
      <c r="K466" s="42"/>
      <c r="L466" s="42"/>
    </row>
    <row r="467" spans="1:14" x14ac:dyDescent="0.25">
      <c r="A467" s="188" t="s">
        <v>54</v>
      </c>
      <c r="B467" s="188"/>
      <c r="C467" s="188"/>
      <c r="D467" s="188"/>
      <c r="E467" s="188"/>
      <c r="F467" s="188"/>
      <c r="G467" s="188"/>
      <c r="H467" s="168"/>
      <c r="I467" s="44"/>
      <c r="J467" s="44"/>
      <c r="K467" s="44"/>
      <c r="L467" s="44"/>
    </row>
    <row r="468" spans="1:14" x14ac:dyDescent="0.25">
      <c r="A468" s="44"/>
      <c r="B468" s="44"/>
      <c r="C468" s="44"/>
      <c r="D468" s="44"/>
      <c r="E468" s="44"/>
      <c r="G468" s="44"/>
      <c r="H468" s="44"/>
      <c r="I468" s="168"/>
      <c r="J468" s="168"/>
      <c r="K468" s="168"/>
      <c r="L468" s="168"/>
    </row>
    <row r="469" spans="1:14" x14ac:dyDescent="0.25">
      <c r="A469" s="189" t="s">
        <v>244</v>
      </c>
      <c r="B469" s="178"/>
      <c r="C469" s="190" t="s">
        <v>72</v>
      </c>
      <c r="D469" s="190"/>
      <c r="E469" s="190"/>
      <c r="F469" s="190"/>
      <c r="G469" s="191"/>
      <c r="H469" s="173"/>
      <c r="I469" s="168"/>
      <c r="J469" s="168"/>
      <c r="K469" s="168"/>
      <c r="L469" s="44"/>
      <c r="M469" s="44"/>
      <c r="N469" s="168"/>
    </row>
    <row r="470" spans="1:14" x14ac:dyDescent="0.25">
      <c r="A470" s="176" t="s">
        <v>70</v>
      </c>
      <c r="B470" s="177"/>
      <c r="C470" s="176" t="s">
        <v>51</v>
      </c>
      <c r="D470" s="184"/>
      <c r="E470" s="178" t="s">
        <v>99</v>
      </c>
      <c r="F470" s="178"/>
      <c r="G470" s="179"/>
      <c r="H470" s="166"/>
      <c r="I470" s="168"/>
      <c r="J470" s="168"/>
      <c r="K470" s="168"/>
      <c r="L470" s="44"/>
      <c r="M470" s="44"/>
      <c r="N470" s="168"/>
    </row>
    <row r="471" spans="1:14" x14ac:dyDescent="0.25">
      <c r="A471" s="180"/>
      <c r="B471" s="181"/>
      <c r="C471" s="180"/>
      <c r="D471" s="181"/>
      <c r="E471" s="164" t="s">
        <v>597</v>
      </c>
      <c r="F471" s="165" t="s">
        <v>57</v>
      </c>
      <c r="G471" s="165" t="s">
        <v>55</v>
      </c>
      <c r="H471" s="166"/>
      <c r="I471" s="168"/>
      <c r="J471" s="168"/>
      <c r="K471" s="168"/>
      <c r="L471" s="44"/>
      <c r="M471" s="44"/>
      <c r="N471" s="168"/>
    </row>
    <row r="472" spans="1:14" ht="21.75" customHeight="1" x14ac:dyDescent="0.25">
      <c r="A472" s="175" t="s">
        <v>275</v>
      </c>
      <c r="B472" s="175"/>
      <c r="C472" s="182" t="s">
        <v>621</v>
      </c>
      <c r="D472" s="183"/>
      <c r="E472" s="167">
        <v>0.25</v>
      </c>
      <c r="F472" s="47">
        <v>0</v>
      </c>
      <c r="G472" s="117">
        <v>0</v>
      </c>
      <c r="H472" s="64"/>
    </row>
    <row r="473" spans="1:14" ht="19.5" customHeight="1" x14ac:dyDescent="0.25">
      <c r="A473" s="175"/>
      <c r="B473" s="175"/>
      <c r="C473" s="185" t="s">
        <v>174</v>
      </c>
      <c r="D473" s="186"/>
      <c r="E473" s="167">
        <v>3.83</v>
      </c>
      <c r="F473" s="47">
        <f>50000/100000</f>
        <v>0.5</v>
      </c>
      <c r="G473" s="51">
        <v>1.5</v>
      </c>
      <c r="H473" s="66"/>
      <c r="I473" s="56"/>
      <c r="J473" s="56"/>
    </row>
    <row r="474" spans="1:14" ht="21" customHeight="1" x14ac:dyDescent="0.25">
      <c r="A474" s="175"/>
      <c r="B474" s="175"/>
      <c r="C474" s="185" t="s">
        <v>311</v>
      </c>
      <c r="D474" s="186"/>
      <c r="E474" s="167">
        <v>4.93</v>
      </c>
      <c r="F474" s="47">
        <f>302250/100000</f>
        <v>3.0225</v>
      </c>
      <c r="G474" s="51">
        <v>0</v>
      </c>
      <c r="H474" s="64"/>
      <c r="I474" s="58"/>
      <c r="J474" s="58"/>
    </row>
    <row r="475" spans="1:14" ht="19.5" customHeight="1" x14ac:dyDescent="0.25">
      <c r="A475" s="175"/>
      <c r="B475" s="175"/>
      <c r="C475" s="185" t="s">
        <v>543</v>
      </c>
      <c r="D475" s="185"/>
      <c r="E475" s="119">
        <v>2.69</v>
      </c>
      <c r="F475" s="174">
        <v>0</v>
      </c>
      <c r="G475" s="117">
        <v>1.5</v>
      </c>
      <c r="H475" s="64"/>
    </row>
    <row r="476" spans="1:14" ht="19.5" customHeight="1" x14ac:dyDescent="0.25">
      <c r="A476" s="175"/>
      <c r="B476" s="175"/>
      <c r="C476" s="185" t="s">
        <v>312</v>
      </c>
      <c r="D476" s="186"/>
      <c r="E476" s="167">
        <v>15.12</v>
      </c>
      <c r="F476" s="47">
        <f>420000/100000</f>
        <v>4.2</v>
      </c>
      <c r="G476" s="51">
        <v>0</v>
      </c>
      <c r="H476" s="64"/>
    </row>
    <row r="477" spans="1:14" ht="36" customHeight="1" x14ac:dyDescent="0.25">
      <c r="A477" s="175"/>
      <c r="B477" s="175"/>
      <c r="C477" s="185" t="s">
        <v>175</v>
      </c>
      <c r="D477" s="186"/>
      <c r="E477" s="170">
        <v>6.27</v>
      </c>
      <c r="F477" s="174">
        <f>597000/100000</f>
        <v>5.97</v>
      </c>
      <c r="G477" s="117">
        <v>0</v>
      </c>
      <c r="H477" s="66"/>
    </row>
    <row r="478" spans="1:14" ht="25.15" customHeight="1" x14ac:dyDescent="0.25">
      <c r="A478" s="175"/>
      <c r="B478" s="175"/>
      <c r="C478" s="182" t="s">
        <v>622</v>
      </c>
      <c r="D478" s="183"/>
      <c r="E478" s="170">
        <v>6.83</v>
      </c>
      <c r="F478" s="174">
        <v>0</v>
      </c>
      <c r="G478" s="117">
        <v>0</v>
      </c>
      <c r="H478" s="66"/>
    </row>
    <row r="479" spans="1:14" ht="19.5" customHeight="1" x14ac:dyDescent="0.25">
      <c r="A479" s="175"/>
      <c r="B479" s="175"/>
      <c r="C479" s="185" t="s">
        <v>313</v>
      </c>
      <c r="D479" s="186"/>
      <c r="E479" s="167">
        <v>4.1399999999999997</v>
      </c>
      <c r="F479" s="47">
        <f>12500/100000</f>
        <v>0.125</v>
      </c>
      <c r="G479" s="51">
        <v>0.38</v>
      </c>
      <c r="H479" s="64"/>
    </row>
    <row r="480" spans="1:14" ht="18.75" customHeight="1" x14ac:dyDescent="0.25">
      <c r="A480" s="175"/>
      <c r="B480" s="175"/>
      <c r="C480" s="185" t="s">
        <v>176</v>
      </c>
      <c r="D480" s="186"/>
      <c r="E480" s="167">
        <v>1.54</v>
      </c>
      <c r="F480" s="47">
        <f>626500/100000</f>
        <v>6.2649999999999997</v>
      </c>
      <c r="G480" s="51">
        <v>0</v>
      </c>
      <c r="H480" s="64"/>
      <c r="I480" s="39"/>
      <c r="J480" s="39"/>
    </row>
    <row r="481" spans="1:14" ht="19.5" customHeight="1" x14ac:dyDescent="0.25">
      <c r="A481" s="175"/>
      <c r="B481" s="175"/>
      <c r="C481" s="185" t="s">
        <v>314</v>
      </c>
      <c r="D481" s="186"/>
      <c r="E481" s="38">
        <v>1</v>
      </c>
      <c r="F481" s="47">
        <f>150000/100000</f>
        <v>1.5</v>
      </c>
      <c r="G481" s="51">
        <v>0</v>
      </c>
      <c r="H481" s="64"/>
    </row>
    <row r="482" spans="1:14" ht="19.5" customHeight="1" x14ac:dyDescent="0.25">
      <c r="A482" s="175"/>
      <c r="B482" s="175"/>
      <c r="C482" s="185" t="s">
        <v>315</v>
      </c>
      <c r="D482" s="186"/>
      <c r="E482" s="167">
        <v>3.54</v>
      </c>
      <c r="F482" s="47">
        <f>217000/100000</f>
        <v>2.17</v>
      </c>
      <c r="G482" s="51">
        <v>0.75</v>
      </c>
      <c r="H482" s="64"/>
    </row>
    <row r="483" spans="1:14" ht="19.5" customHeight="1" x14ac:dyDescent="0.25">
      <c r="A483" s="175"/>
      <c r="B483" s="175"/>
      <c r="C483" s="185" t="s">
        <v>546</v>
      </c>
      <c r="D483" s="185"/>
      <c r="E483" s="62">
        <v>2.63</v>
      </c>
      <c r="F483" s="47">
        <v>0</v>
      </c>
      <c r="G483" s="51">
        <v>1.5</v>
      </c>
      <c r="H483" s="64"/>
      <c r="I483" s="43">
        <f>336.84+57.7</f>
        <v>394.53999999999996</v>
      </c>
    </row>
    <row r="484" spans="1:14" ht="31.9" customHeight="1" x14ac:dyDescent="0.25">
      <c r="A484" s="175"/>
      <c r="B484" s="175"/>
      <c r="C484" s="182" t="s">
        <v>623</v>
      </c>
      <c r="D484" s="183"/>
      <c r="E484" s="119">
        <v>1.1299999999999999</v>
      </c>
      <c r="F484" s="174">
        <v>0</v>
      </c>
      <c r="G484" s="174">
        <v>0</v>
      </c>
      <c r="H484" s="64"/>
    </row>
    <row r="485" spans="1:14" ht="21.75" customHeight="1" x14ac:dyDescent="0.25">
      <c r="A485" s="175"/>
      <c r="B485" s="175"/>
      <c r="C485" s="182" t="s">
        <v>624</v>
      </c>
      <c r="D485" s="183"/>
      <c r="E485" s="37">
        <v>1.5</v>
      </c>
      <c r="F485" s="174">
        <v>0</v>
      </c>
      <c r="G485" s="174">
        <v>0</v>
      </c>
      <c r="H485" s="66"/>
      <c r="I485" s="56"/>
      <c r="J485" s="87"/>
    </row>
    <row r="486" spans="1:14" ht="19.5" customHeight="1" x14ac:dyDescent="0.25">
      <c r="A486" s="175"/>
      <c r="B486" s="175"/>
      <c r="C486" s="185" t="s">
        <v>548</v>
      </c>
      <c r="D486" s="185"/>
      <c r="E486" s="50">
        <v>9.6</v>
      </c>
      <c r="F486" s="174">
        <v>0</v>
      </c>
      <c r="G486" s="60">
        <v>1.89</v>
      </c>
      <c r="H486" s="61"/>
    </row>
    <row r="487" spans="1:14" ht="18.399999999999999" customHeight="1" x14ac:dyDescent="0.25">
      <c r="A487" s="175"/>
      <c r="B487" s="175"/>
      <c r="C487" s="182" t="s">
        <v>625</v>
      </c>
      <c r="D487" s="183"/>
      <c r="E487" s="119">
        <v>1.88</v>
      </c>
      <c r="F487" s="174">
        <v>0</v>
      </c>
      <c r="G487" s="174">
        <v>0</v>
      </c>
      <c r="H487" s="64"/>
    </row>
    <row r="488" spans="1:14" ht="19.5" customHeight="1" x14ac:dyDescent="0.25">
      <c r="A488" s="175"/>
      <c r="B488" s="175"/>
      <c r="C488" s="185" t="s">
        <v>178</v>
      </c>
      <c r="D488" s="186"/>
      <c r="E488" s="167">
        <v>6.65</v>
      </c>
      <c r="F488" s="47">
        <f>432000/100000</f>
        <v>4.32</v>
      </c>
      <c r="G488" s="51">
        <v>2.76</v>
      </c>
      <c r="H488" s="64">
        <f>E472+E473+E474+E475+E476+E477+E478+E479+E480+E481+E482+E483+E484+E485+E486+E487+E488</f>
        <v>73.53</v>
      </c>
      <c r="I488" s="58">
        <f>F472+F473+F474+F475+F476+F477+F478+F479+F480+F481+F482+F483+F484+F485+F486+F487+F488</f>
        <v>28.072499999999998</v>
      </c>
      <c r="J488" s="39">
        <f>G472+G473+G474+G475+G476+G477+G478+G479+G480+G481+G482+G483+G484+G485+G486+G487+G488</f>
        <v>10.28</v>
      </c>
    </row>
    <row r="489" spans="1:14" ht="29.25" customHeight="1" x14ac:dyDescent="0.25">
      <c r="A489" s="187" t="s">
        <v>678</v>
      </c>
      <c r="B489" s="187"/>
      <c r="C489" s="187"/>
      <c r="D489" s="187"/>
      <c r="E489" s="187"/>
      <c r="F489" s="187"/>
      <c r="G489" s="187"/>
      <c r="H489" s="166"/>
      <c r="I489" s="42"/>
      <c r="J489" s="42"/>
      <c r="K489" s="42"/>
      <c r="L489" s="42"/>
      <c r="M489" s="42"/>
      <c r="N489" s="42"/>
    </row>
    <row r="490" spans="1:14" x14ac:dyDescent="0.25">
      <c r="A490" s="187" t="s">
        <v>53</v>
      </c>
      <c r="B490" s="187"/>
      <c r="C490" s="187"/>
      <c r="D490" s="187"/>
      <c r="E490" s="187"/>
      <c r="F490" s="187"/>
      <c r="G490" s="187"/>
      <c r="H490" s="166"/>
      <c r="I490" s="42"/>
      <c r="J490" s="42"/>
      <c r="K490" s="42"/>
      <c r="L490" s="42"/>
    </row>
    <row r="491" spans="1:14" x14ac:dyDescent="0.25">
      <c r="A491" s="188" t="s">
        <v>54</v>
      </c>
      <c r="B491" s="188"/>
      <c r="C491" s="188"/>
      <c r="D491" s="188"/>
      <c r="E491" s="188"/>
      <c r="F491" s="188"/>
      <c r="G491" s="188"/>
      <c r="H491" s="168"/>
      <c r="I491" s="44"/>
      <c r="J491" s="44"/>
      <c r="K491" s="44"/>
      <c r="L491" s="44"/>
    </row>
    <row r="492" spans="1:14" x14ac:dyDescent="0.25">
      <c r="A492" s="44"/>
      <c r="B492" s="44"/>
      <c r="C492" s="44"/>
      <c r="D492" s="44"/>
      <c r="E492" s="44"/>
      <c r="G492" s="44"/>
      <c r="H492" s="44"/>
      <c r="I492" s="168"/>
      <c r="J492" s="168"/>
      <c r="K492" s="168"/>
      <c r="L492" s="168"/>
    </row>
    <row r="493" spans="1:14" x14ac:dyDescent="0.25">
      <c r="A493" s="189" t="s">
        <v>244</v>
      </c>
      <c r="B493" s="178"/>
      <c r="C493" s="190" t="s">
        <v>72</v>
      </c>
      <c r="D493" s="190"/>
      <c r="E493" s="190"/>
      <c r="F493" s="190"/>
      <c r="G493" s="191"/>
      <c r="H493" s="173"/>
      <c r="I493" s="168"/>
      <c r="J493" s="168"/>
      <c r="K493" s="168"/>
      <c r="L493" s="44"/>
      <c r="M493" s="44"/>
      <c r="N493" s="168"/>
    </row>
    <row r="494" spans="1:14" x14ac:dyDescent="0.25">
      <c r="A494" s="176" t="s">
        <v>70</v>
      </c>
      <c r="B494" s="177"/>
      <c r="C494" s="176" t="s">
        <v>51</v>
      </c>
      <c r="D494" s="184"/>
      <c r="E494" s="178" t="s">
        <v>99</v>
      </c>
      <c r="F494" s="178"/>
      <c r="G494" s="179"/>
      <c r="H494" s="166"/>
      <c r="I494" s="168"/>
      <c r="J494" s="168"/>
      <c r="K494" s="168"/>
      <c r="L494" s="44"/>
      <c r="M494" s="44"/>
      <c r="N494" s="168"/>
    </row>
    <row r="495" spans="1:14" x14ac:dyDescent="0.25">
      <c r="A495" s="180"/>
      <c r="B495" s="181"/>
      <c r="C495" s="180"/>
      <c r="D495" s="181"/>
      <c r="E495" s="164" t="s">
        <v>597</v>
      </c>
      <c r="F495" s="165" t="s">
        <v>57</v>
      </c>
      <c r="G495" s="165" t="s">
        <v>55</v>
      </c>
      <c r="H495" s="166"/>
      <c r="I495" s="168"/>
      <c r="J495" s="168"/>
      <c r="K495" s="168"/>
      <c r="L495" s="44"/>
      <c r="M495" s="44"/>
      <c r="N495" s="168"/>
    </row>
    <row r="496" spans="1:14" ht="19.5" customHeight="1" x14ac:dyDescent="0.25">
      <c r="A496" s="175" t="s">
        <v>275</v>
      </c>
      <c r="B496" s="175"/>
      <c r="C496" s="185" t="s">
        <v>179</v>
      </c>
      <c r="D496" s="186"/>
      <c r="E496" s="38">
        <v>5.92</v>
      </c>
      <c r="F496" s="47">
        <f>314000/100000</f>
        <v>3.14</v>
      </c>
      <c r="G496" s="120">
        <v>3</v>
      </c>
      <c r="H496" s="64"/>
    </row>
    <row r="497" spans="1:10" ht="17.649999999999999" customHeight="1" x14ac:dyDescent="0.25">
      <c r="A497" s="175"/>
      <c r="B497" s="175"/>
      <c r="C497" s="185" t="s">
        <v>320</v>
      </c>
      <c r="D497" s="186"/>
      <c r="E497" s="38">
        <v>2</v>
      </c>
      <c r="F497" s="47">
        <f>150000/100000</f>
        <v>1.5</v>
      </c>
      <c r="G497" s="120">
        <v>0</v>
      </c>
      <c r="H497" s="64"/>
    </row>
    <row r="498" spans="1:10" ht="17.25" customHeight="1" x14ac:dyDescent="0.25">
      <c r="A498" s="175"/>
      <c r="B498" s="175"/>
      <c r="C498" s="185" t="s">
        <v>180</v>
      </c>
      <c r="D498" s="186"/>
      <c r="E498" s="167">
        <v>8.83</v>
      </c>
      <c r="F498" s="47">
        <f>774350/100000</f>
        <v>7.7435</v>
      </c>
      <c r="G498" s="120">
        <v>7.48</v>
      </c>
      <c r="H498" s="64"/>
      <c r="I498" s="39"/>
      <c r="J498" s="39"/>
    </row>
    <row r="499" spans="1:10" ht="19.5" customHeight="1" x14ac:dyDescent="0.25">
      <c r="A499" s="175"/>
      <c r="B499" s="175"/>
      <c r="C499" s="185" t="s">
        <v>549</v>
      </c>
      <c r="D499" s="185"/>
      <c r="E499" s="50">
        <v>0.5</v>
      </c>
      <c r="F499" s="47">
        <v>0</v>
      </c>
      <c r="G499" s="120">
        <v>1.5</v>
      </c>
      <c r="H499" s="64"/>
    </row>
    <row r="500" spans="1:10" ht="19.5" customHeight="1" x14ac:dyDescent="0.25">
      <c r="A500" s="175"/>
      <c r="B500" s="175"/>
      <c r="C500" s="185" t="s">
        <v>321</v>
      </c>
      <c r="D500" s="186"/>
      <c r="E500" s="38">
        <v>3.84</v>
      </c>
      <c r="F500" s="47">
        <f>74512/100000</f>
        <v>0.74512</v>
      </c>
      <c r="G500" s="120">
        <v>5.93</v>
      </c>
      <c r="H500" s="64"/>
    </row>
    <row r="501" spans="1:10" ht="19.5" customHeight="1" x14ac:dyDescent="0.25">
      <c r="A501" s="175"/>
      <c r="B501" s="175"/>
      <c r="C501" s="185" t="s">
        <v>181</v>
      </c>
      <c r="D501" s="186"/>
      <c r="E501" s="38">
        <v>1.5</v>
      </c>
      <c r="F501" s="47">
        <f>272625/100000</f>
        <v>2.7262499999999998</v>
      </c>
      <c r="G501" s="120">
        <v>1.5</v>
      </c>
      <c r="H501" s="64"/>
    </row>
    <row r="502" spans="1:10" ht="18" customHeight="1" x14ac:dyDescent="0.25">
      <c r="A502" s="175"/>
      <c r="B502" s="175"/>
      <c r="C502" s="185" t="s">
        <v>575</v>
      </c>
      <c r="D502" s="185"/>
      <c r="E502" s="50">
        <v>1.5</v>
      </c>
      <c r="F502" s="83">
        <v>0</v>
      </c>
      <c r="G502" s="51">
        <v>0</v>
      </c>
      <c r="H502" s="64"/>
    </row>
    <row r="503" spans="1:10" ht="19.5" customHeight="1" x14ac:dyDescent="0.25">
      <c r="A503" s="175"/>
      <c r="B503" s="175"/>
      <c r="C503" s="185" t="s">
        <v>322</v>
      </c>
      <c r="D503" s="186"/>
      <c r="E503" s="167">
        <v>0.75</v>
      </c>
      <c r="F503" s="47">
        <f>112500/100000</f>
        <v>1.125</v>
      </c>
      <c r="G503" s="117">
        <v>0</v>
      </c>
      <c r="H503" s="64"/>
      <c r="I503" s="39"/>
      <c r="J503" s="39"/>
    </row>
    <row r="504" spans="1:10" ht="18" customHeight="1" x14ac:dyDescent="0.25">
      <c r="A504" s="175"/>
      <c r="B504" s="175"/>
      <c r="C504" s="185" t="s">
        <v>323</v>
      </c>
      <c r="D504" s="186"/>
      <c r="E504" s="167">
        <v>0.63</v>
      </c>
      <c r="F504" s="47">
        <f>225000/100000</f>
        <v>2.25</v>
      </c>
      <c r="G504" s="51">
        <v>0</v>
      </c>
      <c r="H504" s="64"/>
    </row>
    <row r="505" spans="1:10" ht="19.5" customHeight="1" x14ac:dyDescent="0.25">
      <c r="A505" s="175"/>
      <c r="B505" s="175"/>
      <c r="C505" s="185" t="s">
        <v>550</v>
      </c>
      <c r="D505" s="185"/>
      <c r="E505" s="62">
        <v>2.64</v>
      </c>
      <c r="F505" s="47">
        <v>0</v>
      </c>
      <c r="G505" s="120">
        <v>2.84</v>
      </c>
      <c r="H505" s="64"/>
    </row>
    <row r="506" spans="1:10" ht="18" customHeight="1" x14ac:dyDescent="0.25">
      <c r="A506" s="175"/>
      <c r="B506" s="175"/>
      <c r="C506" s="185" t="s">
        <v>182</v>
      </c>
      <c r="D506" s="186"/>
      <c r="E506" s="167">
        <v>0.25</v>
      </c>
      <c r="F506" s="47">
        <f>75000/100000</f>
        <v>0.75</v>
      </c>
      <c r="G506" s="51">
        <v>0</v>
      </c>
      <c r="H506" s="64"/>
    </row>
    <row r="507" spans="1:10" ht="18" customHeight="1" x14ac:dyDescent="0.25">
      <c r="A507" s="175"/>
      <c r="B507" s="175"/>
      <c r="C507" s="185" t="s">
        <v>676</v>
      </c>
      <c r="D507" s="186"/>
      <c r="E507" s="167">
        <v>5.21</v>
      </c>
      <c r="F507" s="47">
        <f>313000/100000</f>
        <v>3.13</v>
      </c>
      <c r="G507" s="51">
        <v>7.03</v>
      </c>
      <c r="H507" s="64"/>
    </row>
    <row r="508" spans="1:10" ht="18" customHeight="1" x14ac:dyDescent="0.25">
      <c r="A508" s="175"/>
      <c r="B508" s="175"/>
      <c r="C508" s="185" t="s">
        <v>552</v>
      </c>
      <c r="D508" s="185"/>
      <c r="E508" s="50">
        <v>1.5</v>
      </c>
      <c r="F508" s="47">
        <v>0</v>
      </c>
      <c r="G508" s="51">
        <v>1.87</v>
      </c>
      <c r="H508" s="64"/>
    </row>
    <row r="509" spans="1:10" ht="18" customHeight="1" x14ac:dyDescent="0.25">
      <c r="A509" s="175"/>
      <c r="B509" s="175"/>
      <c r="C509" s="182" t="s">
        <v>626</v>
      </c>
      <c r="D509" s="183"/>
      <c r="E509" s="38">
        <v>1.1200000000000001</v>
      </c>
      <c r="F509" s="174">
        <v>0</v>
      </c>
      <c r="G509" s="117">
        <v>0</v>
      </c>
      <c r="H509" s="64"/>
    </row>
    <row r="510" spans="1:10" ht="18" customHeight="1" x14ac:dyDescent="0.25">
      <c r="A510" s="175"/>
      <c r="B510" s="175"/>
      <c r="C510" s="185" t="s">
        <v>183</v>
      </c>
      <c r="D510" s="186"/>
      <c r="E510" s="50">
        <v>1.8</v>
      </c>
      <c r="F510" s="47">
        <f>196500/100000</f>
        <v>1.9650000000000001</v>
      </c>
      <c r="G510" s="51">
        <v>0</v>
      </c>
      <c r="H510" s="64"/>
    </row>
    <row r="511" spans="1:10" ht="18" customHeight="1" x14ac:dyDescent="0.25">
      <c r="A511" s="175"/>
      <c r="B511" s="175"/>
      <c r="C511" s="182" t="s">
        <v>627</v>
      </c>
      <c r="D511" s="183"/>
      <c r="E511" s="50">
        <v>0.8</v>
      </c>
      <c r="F511" s="47">
        <v>0</v>
      </c>
      <c r="G511" s="51">
        <v>0</v>
      </c>
      <c r="H511" s="64"/>
    </row>
    <row r="512" spans="1:10" ht="18" customHeight="1" x14ac:dyDescent="0.25">
      <c r="A512" s="175"/>
      <c r="B512" s="175"/>
      <c r="C512" s="185" t="s">
        <v>325</v>
      </c>
      <c r="D512" s="186"/>
      <c r="E512" s="38">
        <v>0.5</v>
      </c>
      <c r="F512" s="47">
        <f>150000/100000</f>
        <v>1.5</v>
      </c>
      <c r="G512" s="51">
        <v>0</v>
      </c>
      <c r="H512" s="64"/>
    </row>
    <row r="513" spans="1:14" ht="18" customHeight="1" x14ac:dyDescent="0.25">
      <c r="A513" s="175"/>
      <c r="B513" s="175"/>
      <c r="C513" s="185" t="s">
        <v>184</v>
      </c>
      <c r="D513" s="186"/>
      <c r="E513" s="38">
        <v>1</v>
      </c>
      <c r="F513" s="47">
        <f>300000/100000</f>
        <v>3</v>
      </c>
      <c r="G513" s="51">
        <v>0</v>
      </c>
      <c r="H513" s="64"/>
    </row>
    <row r="514" spans="1:14" ht="18" customHeight="1" x14ac:dyDescent="0.25">
      <c r="A514" s="175"/>
      <c r="B514" s="175"/>
      <c r="C514" s="182" t="s">
        <v>677</v>
      </c>
      <c r="D514" s="183"/>
      <c r="E514" s="38">
        <v>2</v>
      </c>
      <c r="F514" s="47">
        <v>0</v>
      </c>
      <c r="G514" s="51">
        <v>0</v>
      </c>
      <c r="H514" s="64"/>
    </row>
    <row r="515" spans="1:14" ht="18" customHeight="1" x14ac:dyDescent="0.25">
      <c r="A515" s="175"/>
      <c r="B515" s="175"/>
      <c r="C515" s="182" t="s">
        <v>628</v>
      </c>
      <c r="D515" s="183"/>
      <c r="E515" s="38">
        <v>2.62</v>
      </c>
      <c r="F515" s="47">
        <v>0</v>
      </c>
      <c r="G515" s="51">
        <v>0</v>
      </c>
      <c r="H515" s="64">
        <f>E496+E497+E498+E499+E500+E501+E502+E503+E504+E505+E506+E507+E508+E509+E510+E511+E512+E513+E514+E515</f>
        <v>44.909999999999989</v>
      </c>
      <c r="I515" s="58">
        <f>F496+F497+F498+F499+F500+F501+F502+F503+F504+F505+F506+F507+F508+F509+F510+F511+F512+F513+F514+F515</f>
        <v>29.574870000000001</v>
      </c>
      <c r="J515" s="39">
        <f>G496+G497+G498+G499+G500+G501+G502+G503+G504+G505+G506+G507+G508+G509+G510+G511+G512+G513+G514+G515</f>
        <v>31.150000000000002</v>
      </c>
    </row>
    <row r="516" spans="1:14" ht="29.25" customHeight="1" x14ac:dyDescent="0.25">
      <c r="A516" s="187" t="s">
        <v>678</v>
      </c>
      <c r="B516" s="187"/>
      <c r="C516" s="187"/>
      <c r="D516" s="187"/>
      <c r="E516" s="187"/>
      <c r="F516" s="187"/>
      <c r="G516" s="187"/>
      <c r="H516" s="166"/>
      <c r="I516" s="42"/>
      <c r="J516" s="42"/>
      <c r="K516" s="42"/>
      <c r="L516" s="42"/>
      <c r="M516" s="42"/>
      <c r="N516" s="42"/>
    </row>
    <row r="517" spans="1:14" x14ac:dyDescent="0.25">
      <c r="A517" s="187" t="s">
        <v>53</v>
      </c>
      <c r="B517" s="187"/>
      <c r="C517" s="187"/>
      <c r="D517" s="187"/>
      <c r="E517" s="187"/>
      <c r="F517" s="187"/>
      <c r="G517" s="187"/>
      <c r="H517" s="166"/>
      <c r="I517" s="42"/>
      <c r="J517" s="42"/>
      <c r="K517" s="42"/>
      <c r="L517" s="42"/>
    </row>
    <row r="518" spans="1:14" x14ac:dyDescent="0.25">
      <c r="A518" s="188" t="s">
        <v>54</v>
      </c>
      <c r="B518" s="188"/>
      <c r="C518" s="188"/>
      <c r="D518" s="188"/>
      <c r="E518" s="188"/>
      <c r="F518" s="188"/>
      <c r="G518" s="188"/>
      <c r="H518" s="168"/>
      <c r="I518" s="44"/>
      <c r="J518" s="44"/>
      <c r="K518" s="44"/>
      <c r="L518" s="44"/>
    </row>
    <row r="519" spans="1:14" x14ac:dyDescent="0.25">
      <c r="A519" s="44"/>
      <c r="B519" s="44"/>
      <c r="C519" s="44"/>
      <c r="D519" s="44"/>
      <c r="E519" s="44"/>
      <c r="G519" s="44"/>
      <c r="H519" s="44"/>
      <c r="I519" s="168"/>
      <c r="J519" s="168"/>
      <c r="K519" s="168"/>
      <c r="L519" s="168"/>
    </row>
    <row r="520" spans="1:14" x14ac:dyDescent="0.25">
      <c r="A520" s="189" t="s">
        <v>244</v>
      </c>
      <c r="B520" s="178"/>
      <c r="C520" s="190" t="s">
        <v>72</v>
      </c>
      <c r="D520" s="190"/>
      <c r="E520" s="190"/>
      <c r="F520" s="190"/>
      <c r="G520" s="191"/>
      <c r="H520" s="173"/>
      <c r="I520" s="168"/>
      <c r="J520" s="168"/>
      <c r="K520" s="168"/>
      <c r="L520" s="44"/>
      <c r="M520" s="44"/>
      <c r="N520" s="168"/>
    </row>
    <row r="521" spans="1:14" x14ac:dyDescent="0.25">
      <c r="A521" s="176" t="s">
        <v>70</v>
      </c>
      <c r="B521" s="177"/>
      <c r="C521" s="176" t="s">
        <v>51</v>
      </c>
      <c r="D521" s="184"/>
      <c r="E521" s="178" t="s">
        <v>99</v>
      </c>
      <c r="F521" s="178"/>
      <c r="G521" s="179"/>
      <c r="H521" s="166"/>
      <c r="I521" s="168"/>
      <c r="J521" s="168"/>
      <c r="K521" s="168"/>
      <c r="L521" s="44"/>
      <c r="M521" s="44"/>
      <c r="N521" s="168"/>
    </row>
    <row r="522" spans="1:14" x14ac:dyDescent="0.25">
      <c r="A522" s="180"/>
      <c r="B522" s="181"/>
      <c r="C522" s="180"/>
      <c r="D522" s="181"/>
      <c r="E522" s="164" t="s">
        <v>597</v>
      </c>
      <c r="F522" s="165" t="s">
        <v>57</v>
      </c>
      <c r="G522" s="165" t="s">
        <v>55</v>
      </c>
      <c r="H522" s="166"/>
      <c r="I522" s="168"/>
      <c r="J522" s="168"/>
      <c r="K522" s="168"/>
      <c r="L522" s="44"/>
      <c r="M522" s="44"/>
      <c r="N522" s="168"/>
    </row>
    <row r="523" spans="1:14" ht="18" customHeight="1" x14ac:dyDescent="0.25">
      <c r="A523" s="175" t="s">
        <v>275</v>
      </c>
      <c r="B523" s="175"/>
      <c r="C523" s="182" t="s">
        <v>629</v>
      </c>
      <c r="D523" s="183"/>
      <c r="E523" s="57">
        <v>1.73</v>
      </c>
      <c r="F523" s="174">
        <v>0</v>
      </c>
      <c r="G523" s="117">
        <v>0</v>
      </c>
      <c r="H523" s="64"/>
    </row>
    <row r="524" spans="1:14" ht="18" customHeight="1" x14ac:dyDescent="0.25">
      <c r="A524" s="175"/>
      <c r="B524" s="175"/>
      <c r="C524" s="182" t="s">
        <v>630</v>
      </c>
      <c r="D524" s="183"/>
      <c r="E524" s="57">
        <v>2</v>
      </c>
      <c r="F524" s="174">
        <v>0</v>
      </c>
      <c r="G524" s="117">
        <v>0</v>
      </c>
      <c r="H524" s="64"/>
    </row>
    <row r="525" spans="1:14" ht="18" customHeight="1" x14ac:dyDescent="0.25">
      <c r="A525" s="175"/>
      <c r="B525" s="175"/>
      <c r="C525" s="182" t="s">
        <v>631</v>
      </c>
      <c r="D525" s="183"/>
      <c r="E525" s="57">
        <v>0.5</v>
      </c>
      <c r="F525" s="174">
        <v>0</v>
      </c>
      <c r="G525" s="117">
        <v>0</v>
      </c>
      <c r="H525" s="64"/>
    </row>
    <row r="526" spans="1:14" ht="18" customHeight="1" x14ac:dyDescent="0.25">
      <c r="A526" s="175"/>
      <c r="B526" s="175"/>
      <c r="C526" s="182" t="s">
        <v>632</v>
      </c>
      <c r="D526" s="183"/>
      <c r="E526" s="57">
        <v>2.89</v>
      </c>
      <c r="F526" s="174">
        <v>0</v>
      </c>
      <c r="G526" s="117">
        <v>0</v>
      </c>
      <c r="H526" s="64"/>
    </row>
    <row r="527" spans="1:14" ht="18" customHeight="1" x14ac:dyDescent="0.25">
      <c r="A527" s="175"/>
      <c r="B527" s="175"/>
      <c r="C527" s="182" t="s">
        <v>633</v>
      </c>
      <c r="D527" s="183"/>
      <c r="E527" s="57">
        <v>2.25</v>
      </c>
      <c r="F527" s="174">
        <v>0</v>
      </c>
      <c r="G527" s="117">
        <v>0</v>
      </c>
      <c r="H527" s="64"/>
    </row>
    <row r="528" spans="1:14" ht="18" customHeight="1" x14ac:dyDescent="0.25">
      <c r="A528" s="175"/>
      <c r="B528" s="175"/>
      <c r="C528" s="182" t="s">
        <v>634</v>
      </c>
      <c r="D528" s="183"/>
      <c r="E528" s="57">
        <v>2.25</v>
      </c>
      <c r="F528" s="174">
        <v>0</v>
      </c>
      <c r="G528" s="117">
        <v>0</v>
      </c>
      <c r="H528" s="64"/>
    </row>
    <row r="529" spans="1:14" ht="18" customHeight="1" x14ac:dyDescent="0.25">
      <c r="A529" s="175"/>
      <c r="B529" s="175"/>
      <c r="C529" s="185" t="s">
        <v>187</v>
      </c>
      <c r="D529" s="186"/>
      <c r="E529" s="38">
        <v>12.5</v>
      </c>
      <c r="F529" s="47">
        <f>1297890/100000</f>
        <v>12.978899999999999</v>
      </c>
      <c r="G529" s="51">
        <v>11.37</v>
      </c>
      <c r="H529" s="64"/>
    </row>
    <row r="530" spans="1:14" ht="19.5" customHeight="1" x14ac:dyDescent="0.25">
      <c r="A530" s="175"/>
      <c r="B530" s="175"/>
      <c r="C530" s="185" t="s">
        <v>553</v>
      </c>
      <c r="D530" s="185"/>
      <c r="E530" s="119">
        <v>2.83</v>
      </c>
      <c r="F530" s="174">
        <v>0</v>
      </c>
      <c r="G530" s="117">
        <v>2.73</v>
      </c>
      <c r="H530" s="66"/>
      <c r="I530" s="56"/>
      <c r="J530" s="87"/>
    </row>
    <row r="531" spans="1:14" ht="19.5" customHeight="1" x14ac:dyDescent="0.25">
      <c r="A531" s="175"/>
      <c r="B531" s="175"/>
      <c r="C531" s="182" t="s">
        <v>635</v>
      </c>
      <c r="D531" s="183"/>
      <c r="E531" s="37">
        <v>2.5</v>
      </c>
      <c r="F531" s="174">
        <v>0</v>
      </c>
      <c r="G531" s="117">
        <v>0</v>
      </c>
      <c r="H531" s="64"/>
    </row>
    <row r="532" spans="1:14" ht="18" customHeight="1" x14ac:dyDescent="0.25">
      <c r="A532" s="175"/>
      <c r="B532" s="175"/>
      <c r="C532" s="182" t="s">
        <v>665</v>
      </c>
      <c r="D532" s="183"/>
      <c r="E532" s="38">
        <v>2.2000000000000002</v>
      </c>
      <c r="F532" s="47">
        <v>0</v>
      </c>
      <c r="G532" s="51">
        <v>0</v>
      </c>
      <c r="H532" s="64"/>
    </row>
    <row r="533" spans="1:14" ht="18" customHeight="1" x14ac:dyDescent="0.25">
      <c r="A533" s="175"/>
      <c r="B533" s="175"/>
      <c r="C533" s="185" t="s">
        <v>326</v>
      </c>
      <c r="D533" s="186"/>
      <c r="E533" s="167">
        <v>2.25</v>
      </c>
      <c r="F533" s="47">
        <f>25000/100000</f>
        <v>0.25</v>
      </c>
      <c r="G533" s="51">
        <v>0.75</v>
      </c>
      <c r="H533" s="64"/>
    </row>
    <row r="534" spans="1:14" ht="18" customHeight="1" x14ac:dyDescent="0.25">
      <c r="A534" s="175"/>
      <c r="B534" s="175"/>
      <c r="C534" s="185" t="s">
        <v>554</v>
      </c>
      <c r="D534" s="185"/>
      <c r="E534" s="62">
        <v>0.24</v>
      </c>
      <c r="F534" s="47">
        <v>0</v>
      </c>
      <c r="G534" s="51">
        <v>0.75</v>
      </c>
      <c r="H534" s="64"/>
    </row>
    <row r="535" spans="1:14" ht="18" customHeight="1" x14ac:dyDescent="0.25">
      <c r="A535" s="175"/>
      <c r="B535" s="175"/>
      <c r="C535" s="182" t="s">
        <v>636</v>
      </c>
      <c r="D535" s="183"/>
      <c r="E535" s="62">
        <v>2.25</v>
      </c>
      <c r="F535" s="47">
        <v>0</v>
      </c>
      <c r="G535" s="47">
        <v>0</v>
      </c>
      <c r="H535" s="64"/>
    </row>
    <row r="536" spans="1:14" ht="18" customHeight="1" x14ac:dyDescent="0.25">
      <c r="A536" s="175"/>
      <c r="B536" s="175"/>
      <c r="C536" s="182" t="s">
        <v>637</v>
      </c>
      <c r="D536" s="183"/>
      <c r="E536" s="50">
        <v>1.5</v>
      </c>
      <c r="F536" s="47">
        <v>0</v>
      </c>
      <c r="G536" s="47">
        <v>0</v>
      </c>
      <c r="H536" s="64"/>
    </row>
    <row r="537" spans="1:14" ht="18" customHeight="1" x14ac:dyDescent="0.25">
      <c r="A537" s="175"/>
      <c r="B537" s="175"/>
      <c r="C537" s="185" t="s">
        <v>191</v>
      </c>
      <c r="D537" s="186"/>
      <c r="E537" s="167">
        <v>6.24</v>
      </c>
      <c r="F537" s="47">
        <f>984000/100000</f>
        <v>9.84</v>
      </c>
      <c r="G537" s="51">
        <v>0</v>
      </c>
      <c r="H537" s="64"/>
    </row>
    <row r="538" spans="1:14" ht="17.25" customHeight="1" x14ac:dyDescent="0.25">
      <c r="A538" s="175"/>
      <c r="B538" s="175"/>
      <c r="C538" s="185" t="s">
        <v>589</v>
      </c>
      <c r="D538" s="185"/>
      <c r="E538" s="50">
        <v>0.5</v>
      </c>
      <c r="F538" s="47">
        <v>0</v>
      </c>
      <c r="G538" s="51">
        <v>1.5</v>
      </c>
      <c r="H538" s="64"/>
      <c r="I538" s="39"/>
      <c r="J538" s="39"/>
    </row>
    <row r="539" spans="1:14" ht="36.75" customHeight="1" x14ac:dyDescent="0.25">
      <c r="A539" s="175"/>
      <c r="B539" s="175"/>
      <c r="C539" s="193" t="s">
        <v>329</v>
      </c>
      <c r="D539" s="194"/>
      <c r="E539" s="170">
        <v>1.54</v>
      </c>
      <c r="F539" s="174">
        <f>314000/100000</f>
        <v>3.14</v>
      </c>
      <c r="G539" s="117">
        <v>0</v>
      </c>
      <c r="H539" s="66"/>
    </row>
    <row r="540" spans="1:14" ht="19.5" customHeight="1" x14ac:dyDescent="0.25">
      <c r="A540" s="175"/>
      <c r="B540" s="175"/>
      <c r="C540" s="185" t="s">
        <v>331</v>
      </c>
      <c r="D540" s="186"/>
      <c r="E540" s="167">
        <v>2.33</v>
      </c>
      <c r="F540" s="47">
        <f>25000/100000</f>
        <v>0.25</v>
      </c>
      <c r="G540" s="51">
        <v>0.75</v>
      </c>
      <c r="H540" s="64"/>
    </row>
    <row r="541" spans="1:14" ht="19.5" customHeight="1" x14ac:dyDescent="0.25">
      <c r="A541" s="175"/>
      <c r="B541" s="175"/>
      <c r="C541" s="185" t="s">
        <v>332</v>
      </c>
      <c r="D541" s="186"/>
      <c r="E541" s="167">
        <v>1.75</v>
      </c>
      <c r="F541" s="47">
        <f>75000/100000</f>
        <v>0.75</v>
      </c>
      <c r="G541" s="51">
        <v>0.22</v>
      </c>
      <c r="H541" s="64">
        <f>E523+E524+E525+E526+E527+E528+E529+E530+E531+E532+E533+E534+E535+E536+E537+E538+E539+E540+E541</f>
        <v>50.250000000000007</v>
      </c>
      <c r="I541" s="58">
        <f>F523+F524+F525+F526+F527+F528+F529+F530+F531+F532+F533+F534+F535+F536+F537+F538+F539+F540+F541</f>
        <v>27.2089</v>
      </c>
      <c r="J541" s="39">
        <f>G523+G524+G525+G526+G527+G528+G529+G530+G531+G532+G533+G534+G535+G536+G537+G538+G539+G540+G541</f>
        <v>18.07</v>
      </c>
    </row>
    <row r="542" spans="1:14" ht="29.25" customHeight="1" x14ac:dyDescent="0.25">
      <c r="A542" s="187" t="s">
        <v>678</v>
      </c>
      <c r="B542" s="187"/>
      <c r="C542" s="187"/>
      <c r="D542" s="187"/>
      <c r="E542" s="187"/>
      <c r="F542" s="187"/>
      <c r="G542" s="187"/>
      <c r="H542" s="166"/>
      <c r="I542" s="42"/>
      <c r="J542" s="42"/>
      <c r="K542" s="42"/>
      <c r="L542" s="42"/>
      <c r="M542" s="42"/>
      <c r="N542" s="42"/>
    </row>
    <row r="543" spans="1:14" x14ac:dyDescent="0.25">
      <c r="A543" s="187" t="s">
        <v>53</v>
      </c>
      <c r="B543" s="187"/>
      <c r="C543" s="187"/>
      <c r="D543" s="187"/>
      <c r="E543" s="187"/>
      <c r="F543" s="187"/>
      <c r="G543" s="187"/>
      <c r="H543" s="166"/>
      <c r="I543" s="42"/>
      <c r="J543" s="42"/>
      <c r="K543" s="42"/>
      <c r="L543" s="42"/>
    </row>
    <row r="544" spans="1:14" x14ac:dyDescent="0.25">
      <c r="A544" s="188" t="s">
        <v>54</v>
      </c>
      <c r="B544" s="188"/>
      <c r="C544" s="188"/>
      <c r="D544" s="188"/>
      <c r="E544" s="188"/>
      <c r="F544" s="188"/>
      <c r="G544" s="188"/>
      <c r="H544" s="168"/>
      <c r="I544" s="44"/>
      <c r="J544" s="44"/>
      <c r="K544" s="44"/>
      <c r="L544" s="44"/>
    </row>
    <row r="545" spans="1:14" x14ac:dyDescent="0.25">
      <c r="A545" s="44"/>
      <c r="B545" s="44"/>
      <c r="C545" s="44"/>
      <c r="D545" s="44"/>
      <c r="E545" s="44"/>
      <c r="G545" s="44"/>
      <c r="H545" s="44"/>
      <c r="I545" s="168"/>
      <c r="J545" s="168"/>
      <c r="K545" s="168"/>
      <c r="L545" s="168"/>
    </row>
    <row r="546" spans="1:14" x14ac:dyDescent="0.25">
      <c r="A546" s="189" t="s">
        <v>244</v>
      </c>
      <c r="B546" s="178"/>
      <c r="C546" s="190" t="s">
        <v>72</v>
      </c>
      <c r="D546" s="190"/>
      <c r="E546" s="190"/>
      <c r="F546" s="190"/>
      <c r="G546" s="191"/>
      <c r="H546" s="173"/>
      <c r="I546" s="168"/>
      <c r="J546" s="168"/>
      <c r="K546" s="168"/>
      <c r="L546" s="44"/>
      <c r="M546" s="44"/>
      <c r="N546" s="168"/>
    </row>
    <row r="547" spans="1:14" x14ac:dyDescent="0.25">
      <c r="A547" s="176" t="s">
        <v>70</v>
      </c>
      <c r="B547" s="177"/>
      <c r="C547" s="176" t="s">
        <v>51</v>
      </c>
      <c r="D547" s="184"/>
      <c r="E547" s="178" t="s">
        <v>99</v>
      </c>
      <c r="F547" s="178"/>
      <c r="G547" s="179"/>
      <c r="H547" s="166"/>
      <c r="I547" s="168"/>
      <c r="J547" s="168"/>
      <c r="K547" s="168"/>
      <c r="L547" s="44"/>
      <c r="M547" s="44"/>
      <c r="N547" s="168"/>
    </row>
    <row r="548" spans="1:14" x14ac:dyDescent="0.25">
      <c r="A548" s="180"/>
      <c r="B548" s="181"/>
      <c r="C548" s="180"/>
      <c r="D548" s="181"/>
      <c r="E548" s="164" t="s">
        <v>597</v>
      </c>
      <c r="F548" s="165" t="s">
        <v>57</v>
      </c>
      <c r="G548" s="165" t="s">
        <v>55</v>
      </c>
      <c r="H548" s="166"/>
      <c r="I548" s="168"/>
      <c r="J548" s="168"/>
      <c r="K548" s="168"/>
      <c r="L548" s="44"/>
      <c r="M548" s="44"/>
      <c r="N548" s="168"/>
    </row>
    <row r="549" spans="1:14" ht="18" customHeight="1" x14ac:dyDescent="0.25">
      <c r="A549" s="175" t="s">
        <v>275</v>
      </c>
      <c r="B549" s="175"/>
      <c r="C549" s="185" t="s">
        <v>559</v>
      </c>
      <c r="D549" s="185"/>
      <c r="E549" s="50">
        <v>2</v>
      </c>
      <c r="F549" s="83">
        <v>0</v>
      </c>
      <c r="G549" s="51">
        <v>2</v>
      </c>
      <c r="H549" s="64"/>
    </row>
    <row r="550" spans="1:14" ht="18" customHeight="1" x14ac:dyDescent="0.25">
      <c r="A550" s="175"/>
      <c r="B550" s="175"/>
      <c r="C550" s="185" t="s">
        <v>565</v>
      </c>
      <c r="D550" s="185"/>
      <c r="E550" s="50">
        <v>2</v>
      </c>
      <c r="F550" s="83">
        <v>0</v>
      </c>
      <c r="G550" s="51">
        <v>2</v>
      </c>
      <c r="H550" s="64"/>
    </row>
    <row r="551" spans="1:14" ht="18" customHeight="1" x14ac:dyDescent="0.25">
      <c r="A551" s="175"/>
      <c r="B551" s="175"/>
      <c r="C551" s="185" t="s">
        <v>335</v>
      </c>
      <c r="D551" s="186"/>
      <c r="E551" s="167">
        <v>4.42</v>
      </c>
      <c r="F551" s="47">
        <f>264000/100000</f>
        <v>2.64</v>
      </c>
      <c r="G551" s="51">
        <v>0</v>
      </c>
      <c r="H551" s="64"/>
    </row>
    <row r="552" spans="1:14" ht="18" customHeight="1" x14ac:dyDescent="0.25">
      <c r="A552" s="175"/>
      <c r="B552" s="175"/>
      <c r="C552" s="185" t="s">
        <v>193</v>
      </c>
      <c r="D552" s="186"/>
      <c r="E552" s="38">
        <v>0.4</v>
      </c>
      <c r="F552" s="47">
        <f>150000/100000</f>
        <v>1.5</v>
      </c>
      <c r="G552" s="51">
        <v>0</v>
      </c>
      <c r="H552" s="64"/>
    </row>
    <row r="553" spans="1:14" ht="18" customHeight="1" x14ac:dyDescent="0.25">
      <c r="A553" s="175"/>
      <c r="B553" s="175"/>
      <c r="C553" s="185" t="s">
        <v>336</v>
      </c>
      <c r="D553" s="186"/>
      <c r="E553" s="38">
        <v>1.5</v>
      </c>
      <c r="F553" s="47">
        <f>225000/100000</f>
        <v>2.25</v>
      </c>
      <c r="G553" s="51">
        <v>0</v>
      </c>
      <c r="H553" s="64"/>
    </row>
    <row r="554" spans="1:14" ht="18" customHeight="1" x14ac:dyDescent="0.25">
      <c r="A554" s="175"/>
      <c r="B554" s="175"/>
      <c r="C554" s="182" t="s">
        <v>638</v>
      </c>
      <c r="D554" s="183"/>
      <c r="E554" s="57">
        <v>7</v>
      </c>
      <c r="F554" s="174">
        <v>0</v>
      </c>
      <c r="G554" s="117">
        <v>0</v>
      </c>
      <c r="H554" s="66"/>
      <c r="I554" s="56"/>
      <c r="J554" s="87"/>
    </row>
    <row r="555" spans="1:14" ht="18" customHeight="1" x14ac:dyDescent="0.25">
      <c r="A555" s="175"/>
      <c r="B555" s="175"/>
      <c r="C555" s="183" t="s">
        <v>337</v>
      </c>
      <c r="D555" s="186"/>
      <c r="E555" s="167">
        <v>1.69</v>
      </c>
      <c r="F555" s="47">
        <f>168750/100000</f>
        <v>1.6875</v>
      </c>
      <c r="G555" s="51">
        <v>0</v>
      </c>
      <c r="H555" s="64"/>
    </row>
    <row r="556" spans="1:14" ht="18" customHeight="1" x14ac:dyDescent="0.25">
      <c r="A556" s="175"/>
      <c r="B556" s="175"/>
      <c r="C556" s="192" t="s">
        <v>639</v>
      </c>
      <c r="D556" s="183"/>
      <c r="E556" s="38">
        <v>1</v>
      </c>
      <c r="F556" s="47">
        <v>0</v>
      </c>
      <c r="G556" s="51">
        <v>0</v>
      </c>
      <c r="H556" s="64"/>
    </row>
    <row r="557" spans="1:14" ht="18" customHeight="1" x14ac:dyDescent="0.25">
      <c r="A557" s="175"/>
      <c r="B557" s="175"/>
      <c r="C557" s="192" t="s">
        <v>640</v>
      </c>
      <c r="D557" s="183"/>
      <c r="E557" s="57">
        <v>2.5</v>
      </c>
      <c r="F557" s="174">
        <v>0</v>
      </c>
      <c r="G557" s="117">
        <v>0</v>
      </c>
      <c r="H557" s="64"/>
    </row>
    <row r="558" spans="1:14" ht="18" customHeight="1" x14ac:dyDescent="0.25">
      <c r="A558" s="175"/>
      <c r="B558" s="175"/>
      <c r="C558" s="192" t="s">
        <v>641</v>
      </c>
      <c r="D558" s="183"/>
      <c r="E558" s="57">
        <v>2.62</v>
      </c>
      <c r="F558" s="174">
        <v>0</v>
      </c>
      <c r="G558" s="117">
        <v>0</v>
      </c>
      <c r="H558" s="64"/>
    </row>
    <row r="559" spans="1:14" ht="18" customHeight="1" x14ac:dyDescent="0.25">
      <c r="A559" s="175"/>
      <c r="B559" s="175"/>
      <c r="C559" s="192" t="s">
        <v>642</v>
      </c>
      <c r="D559" s="183"/>
      <c r="E559" s="57">
        <v>0.56000000000000005</v>
      </c>
      <c r="F559" s="174">
        <v>0</v>
      </c>
      <c r="G559" s="117">
        <v>0</v>
      </c>
      <c r="H559" s="64"/>
    </row>
    <row r="560" spans="1:14" ht="18" customHeight="1" x14ac:dyDescent="0.25">
      <c r="A560" s="175"/>
      <c r="B560" s="175"/>
      <c r="C560" s="192" t="s">
        <v>643</v>
      </c>
      <c r="D560" s="183"/>
      <c r="E560" s="57">
        <v>1.5</v>
      </c>
      <c r="F560" s="174">
        <v>0</v>
      </c>
      <c r="G560" s="117">
        <v>0</v>
      </c>
      <c r="H560" s="64"/>
    </row>
    <row r="561" spans="1:14" ht="18" customHeight="1" x14ac:dyDescent="0.25">
      <c r="A561" s="175"/>
      <c r="B561" s="175"/>
      <c r="C561" s="192" t="s">
        <v>644</v>
      </c>
      <c r="D561" s="183"/>
      <c r="E561" s="57">
        <v>1.5</v>
      </c>
      <c r="F561" s="174">
        <v>0</v>
      </c>
      <c r="G561" s="117">
        <v>0</v>
      </c>
      <c r="H561" s="64"/>
    </row>
    <row r="562" spans="1:14" ht="18" customHeight="1" x14ac:dyDescent="0.25">
      <c r="A562" s="175"/>
      <c r="B562" s="175"/>
      <c r="C562" s="192" t="s">
        <v>645</v>
      </c>
      <c r="D562" s="183"/>
      <c r="E562" s="57">
        <v>2</v>
      </c>
      <c r="F562" s="174">
        <v>0</v>
      </c>
      <c r="G562" s="117">
        <v>0</v>
      </c>
      <c r="H562" s="64"/>
    </row>
    <row r="563" spans="1:14" ht="18" customHeight="1" x14ac:dyDescent="0.25">
      <c r="A563" s="175"/>
      <c r="B563" s="175"/>
      <c r="C563" s="192" t="s">
        <v>646</v>
      </c>
      <c r="D563" s="183"/>
      <c r="E563" s="57">
        <v>2.25</v>
      </c>
      <c r="F563" s="174">
        <v>0</v>
      </c>
      <c r="G563" s="117">
        <v>0</v>
      </c>
      <c r="H563" s="64"/>
    </row>
    <row r="564" spans="1:14" ht="18" customHeight="1" x14ac:dyDescent="0.25">
      <c r="A564" s="175"/>
      <c r="B564" s="175"/>
      <c r="C564" s="192" t="s">
        <v>647</v>
      </c>
      <c r="D564" s="183"/>
      <c r="E564" s="57">
        <v>0.75</v>
      </c>
      <c r="F564" s="174">
        <v>0</v>
      </c>
      <c r="G564" s="117">
        <v>0</v>
      </c>
      <c r="H564" s="64"/>
    </row>
    <row r="565" spans="1:14" ht="18" customHeight="1" x14ac:dyDescent="0.25">
      <c r="A565" s="175"/>
      <c r="B565" s="175"/>
      <c r="C565" s="192" t="s">
        <v>648</v>
      </c>
      <c r="D565" s="183"/>
      <c r="E565" s="57">
        <v>1.5</v>
      </c>
      <c r="F565" s="174">
        <v>0</v>
      </c>
      <c r="G565" s="117">
        <v>0</v>
      </c>
      <c r="H565" s="64"/>
    </row>
    <row r="566" spans="1:14" ht="18" customHeight="1" x14ac:dyDescent="0.25">
      <c r="A566" s="175"/>
      <c r="B566" s="175"/>
      <c r="C566" s="192" t="s">
        <v>649</v>
      </c>
      <c r="D566" s="183"/>
      <c r="E566" s="57">
        <v>1.5</v>
      </c>
      <c r="F566" s="174">
        <v>0</v>
      </c>
      <c r="G566" s="117">
        <v>0</v>
      </c>
      <c r="H566" s="64"/>
    </row>
    <row r="567" spans="1:14" ht="18" customHeight="1" x14ac:dyDescent="0.25">
      <c r="A567" s="175"/>
      <c r="B567" s="175"/>
      <c r="C567" s="183" t="s">
        <v>338</v>
      </c>
      <c r="D567" s="186"/>
      <c r="E567" s="38">
        <v>6.9</v>
      </c>
      <c r="F567" s="47">
        <f>360000/100000</f>
        <v>3.6</v>
      </c>
      <c r="G567" s="51">
        <v>5.7</v>
      </c>
      <c r="H567" s="64"/>
    </row>
    <row r="568" spans="1:14" ht="24" customHeight="1" x14ac:dyDescent="0.25">
      <c r="A568" s="175"/>
      <c r="B568" s="175"/>
      <c r="C568" s="192" t="s">
        <v>650</v>
      </c>
      <c r="D568" s="183"/>
      <c r="E568" s="50">
        <v>17.25</v>
      </c>
      <c r="F568" s="47">
        <v>0</v>
      </c>
      <c r="G568" s="51">
        <v>0</v>
      </c>
      <c r="H568" s="66">
        <f>E549+E550+E551+E552+E553+E554+E555+E556+E557+E558+E559+E560+E561+E562+E563+E564+E565+E566+E567+E568</f>
        <v>60.839999999999996</v>
      </c>
      <c r="I568" s="87">
        <f>F549+F550+F551+F552+F553+F554+F555+F556+F557+F558+F559+F560+F561+F562+F563+F564+F565+F566+F567+F568</f>
        <v>11.6775</v>
      </c>
      <c r="J568" s="87">
        <f>G549+G550+G551+G552+G553+G554+G555+G556+G557+G558+G559+G560+G561+G562+G563+G564+G565+G566+G567+G568</f>
        <v>9.6999999999999993</v>
      </c>
    </row>
    <row r="569" spans="1:14" ht="29.25" customHeight="1" x14ac:dyDescent="0.25">
      <c r="A569" s="187" t="s">
        <v>678</v>
      </c>
      <c r="B569" s="187"/>
      <c r="C569" s="187"/>
      <c r="D569" s="187"/>
      <c r="E569" s="187"/>
      <c r="F569" s="187"/>
      <c r="G569" s="187"/>
      <c r="H569" s="166"/>
      <c r="I569" s="42"/>
      <c r="J569" s="42"/>
      <c r="K569" s="42"/>
      <c r="L569" s="42"/>
      <c r="M569" s="42"/>
      <c r="N569" s="42"/>
    </row>
    <row r="570" spans="1:14" x14ac:dyDescent="0.25">
      <c r="A570" s="187" t="s">
        <v>53</v>
      </c>
      <c r="B570" s="187"/>
      <c r="C570" s="187"/>
      <c r="D570" s="187"/>
      <c r="E570" s="187"/>
      <c r="F570" s="187"/>
      <c r="G570" s="187"/>
      <c r="H570" s="166"/>
      <c r="I570" s="42"/>
      <c r="J570" s="42"/>
      <c r="K570" s="42"/>
      <c r="L570" s="42"/>
    </row>
    <row r="571" spans="1:14" x14ac:dyDescent="0.25">
      <c r="A571" s="188" t="s">
        <v>54</v>
      </c>
      <c r="B571" s="188"/>
      <c r="C571" s="188"/>
      <c r="D571" s="188"/>
      <c r="E571" s="188"/>
      <c r="F571" s="188"/>
      <c r="G571" s="188"/>
      <c r="H571" s="168"/>
      <c r="I571" s="44"/>
      <c r="J571" s="44"/>
      <c r="K571" s="44"/>
      <c r="L571" s="44"/>
    </row>
    <row r="572" spans="1:14" x14ac:dyDescent="0.25">
      <c r="A572" s="44"/>
      <c r="B572" s="44"/>
      <c r="C572" s="44"/>
      <c r="D572" s="44"/>
      <c r="E572" s="44"/>
      <c r="G572" s="44"/>
      <c r="H572" s="44"/>
      <c r="I572" s="168"/>
      <c r="J572" s="168"/>
      <c r="K572" s="168"/>
      <c r="L572" s="168"/>
    </row>
    <row r="573" spans="1:14" x14ac:dyDescent="0.25">
      <c r="A573" s="189" t="s">
        <v>244</v>
      </c>
      <c r="B573" s="178"/>
      <c r="C573" s="190" t="s">
        <v>72</v>
      </c>
      <c r="D573" s="190"/>
      <c r="E573" s="190"/>
      <c r="F573" s="190"/>
      <c r="G573" s="191"/>
      <c r="H573" s="173"/>
      <c r="I573" s="168"/>
      <c r="J573" s="168"/>
      <c r="K573" s="168"/>
      <c r="L573" s="44"/>
      <c r="M573" s="44"/>
      <c r="N573" s="168"/>
    </row>
    <row r="574" spans="1:14" x14ac:dyDescent="0.25">
      <c r="A574" s="176" t="s">
        <v>70</v>
      </c>
      <c r="B574" s="177"/>
      <c r="C574" s="176" t="s">
        <v>51</v>
      </c>
      <c r="D574" s="184"/>
      <c r="E574" s="178" t="s">
        <v>99</v>
      </c>
      <c r="F574" s="178"/>
      <c r="G574" s="179"/>
      <c r="H574" s="166"/>
      <c r="I574" s="168"/>
      <c r="J574" s="168"/>
      <c r="K574" s="168"/>
      <c r="L574" s="44"/>
      <c r="M574" s="44"/>
      <c r="N574" s="168"/>
    </row>
    <row r="575" spans="1:14" x14ac:dyDescent="0.25">
      <c r="A575" s="180"/>
      <c r="B575" s="181"/>
      <c r="C575" s="180"/>
      <c r="D575" s="181"/>
      <c r="E575" s="164" t="s">
        <v>597</v>
      </c>
      <c r="F575" s="165" t="s">
        <v>57</v>
      </c>
      <c r="G575" s="165" t="s">
        <v>55</v>
      </c>
      <c r="H575" s="166"/>
      <c r="I575" s="168"/>
      <c r="J575" s="168"/>
      <c r="K575" s="168"/>
      <c r="L575" s="44"/>
      <c r="M575" s="44"/>
      <c r="N575" s="168"/>
    </row>
    <row r="576" spans="1:14" ht="18" customHeight="1" x14ac:dyDescent="0.25">
      <c r="A576" s="175" t="s">
        <v>275</v>
      </c>
      <c r="B576" s="175"/>
      <c r="C576" s="183" t="s">
        <v>339</v>
      </c>
      <c r="D576" s="186"/>
      <c r="E576" s="167">
        <v>13.15</v>
      </c>
      <c r="F576" s="47">
        <f>1128000/100000</f>
        <v>11.28</v>
      </c>
      <c r="G576" s="51">
        <v>26.31</v>
      </c>
      <c r="H576" s="64"/>
    </row>
    <row r="577" spans="1:14" x14ac:dyDescent="0.25">
      <c r="A577" s="175"/>
      <c r="B577" s="175"/>
      <c r="C577" s="204" t="s">
        <v>651</v>
      </c>
      <c r="D577" s="205"/>
      <c r="E577" s="169">
        <v>1.1200000000000001</v>
      </c>
      <c r="F577" s="92">
        <v>0</v>
      </c>
      <c r="G577" s="92">
        <v>0</v>
      </c>
      <c r="H577" s="166"/>
      <c r="I577" s="168"/>
      <c r="J577" s="168"/>
      <c r="K577" s="168"/>
      <c r="L577" s="44"/>
      <c r="M577" s="44"/>
      <c r="N577" s="168"/>
    </row>
    <row r="578" spans="1:14" ht="18" customHeight="1" x14ac:dyDescent="0.25">
      <c r="A578" s="175"/>
      <c r="B578" s="175"/>
      <c r="C578" s="183" t="s">
        <v>247</v>
      </c>
      <c r="D578" s="186"/>
      <c r="E578" s="167">
        <v>18.510000000000002</v>
      </c>
      <c r="F578" s="47">
        <f>2001000/100000</f>
        <v>20.010000000000002</v>
      </c>
      <c r="G578" s="51">
        <v>19.010000000000002</v>
      </c>
      <c r="H578" s="64"/>
    </row>
    <row r="579" spans="1:14" ht="18" customHeight="1" x14ac:dyDescent="0.25">
      <c r="A579" s="175"/>
      <c r="B579" s="175"/>
      <c r="C579" s="183" t="s">
        <v>567</v>
      </c>
      <c r="D579" s="185"/>
      <c r="E579" s="62">
        <v>34.08</v>
      </c>
      <c r="F579" s="83">
        <v>0</v>
      </c>
      <c r="G579" s="51">
        <v>20.329999999999998</v>
      </c>
      <c r="H579" s="64"/>
      <c r="I579" s="39"/>
      <c r="J579" s="39"/>
    </row>
    <row r="580" spans="1:14" ht="18" customHeight="1" x14ac:dyDescent="0.25">
      <c r="A580" s="175"/>
      <c r="B580" s="175"/>
      <c r="C580" s="183" t="s">
        <v>340</v>
      </c>
      <c r="D580" s="186"/>
      <c r="E580" s="167">
        <v>6.24</v>
      </c>
      <c r="F580" s="47">
        <f>564000/100000</f>
        <v>5.64</v>
      </c>
      <c r="G580" s="51">
        <v>11.04</v>
      </c>
      <c r="H580" s="64"/>
    </row>
    <row r="581" spans="1:14" ht="23.25" customHeight="1" x14ac:dyDescent="0.25">
      <c r="A581" s="175"/>
      <c r="B581" s="175"/>
      <c r="C581" s="185" t="s">
        <v>576</v>
      </c>
      <c r="D581" s="185"/>
      <c r="E581" s="57">
        <v>31.2</v>
      </c>
      <c r="F581" s="174">
        <v>0</v>
      </c>
      <c r="G581" s="117">
        <v>0</v>
      </c>
      <c r="H581" s="64"/>
      <c r="I581" s="39"/>
      <c r="J581" s="39"/>
    </row>
    <row r="582" spans="1:14" ht="18" customHeight="1" x14ac:dyDescent="0.25">
      <c r="A582" s="175"/>
      <c r="B582" s="175"/>
      <c r="C582" s="183" t="s">
        <v>194</v>
      </c>
      <c r="D582" s="186"/>
      <c r="E582" s="38">
        <v>15.6</v>
      </c>
      <c r="F582" s="47">
        <f>1560000/100000</f>
        <v>15.6</v>
      </c>
      <c r="G582" s="51">
        <v>15.6</v>
      </c>
      <c r="H582" s="66"/>
      <c r="I582" s="56"/>
      <c r="J582" s="87"/>
    </row>
    <row r="583" spans="1:14" ht="18" customHeight="1" x14ac:dyDescent="0.25">
      <c r="A583" s="175"/>
      <c r="B583" s="175"/>
      <c r="C583" s="185" t="s">
        <v>195</v>
      </c>
      <c r="D583" s="186"/>
      <c r="E583" s="38">
        <v>8.4</v>
      </c>
      <c r="F583" s="47">
        <f>840000/100000</f>
        <v>8.4</v>
      </c>
      <c r="G583" s="51">
        <v>8.4</v>
      </c>
      <c r="H583" s="64"/>
    </row>
    <row r="584" spans="1:14" ht="18" customHeight="1" x14ac:dyDescent="0.25">
      <c r="A584" s="175"/>
      <c r="B584" s="175"/>
      <c r="C584" s="185" t="s">
        <v>341</v>
      </c>
      <c r="D584" s="186"/>
      <c r="E584" s="167">
        <v>15.69</v>
      </c>
      <c r="F584" s="47">
        <f>1394000/100000</f>
        <v>13.94</v>
      </c>
      <c r="G584" s="51">
        <v>15.59</v>
      </c>
      <c r="H584" s="64"/>
    </row>
    <row r="585" spans="1:14" ht="18" customHeight="1" x14ac:dyDescent="0.25">
      <c r="A585" s="175"/>
      <c r="B585" s="175"/>
      <c r="C585" s="185" t="s">
        <v>342</v>
      </c>
      <c r="D585" s="186"/>
      <c r="E585" s="38">
        <v>7.2</v>
      </c>
      <c r="F585" s="47">
        <f>564000/100000</f>
        <v>5.64</v>
      </c>
      <c r="G585" s="51">
        <v>0.47</v>
      </c>
      <c r="H585" s="64"/>
    </row>
    <row r="586" spans="1:14" ht="18" customHeight="1" x14ac:dyDescent="0.25">
      <c r="A586" s="175"/>
      <c r="B586" s="175"/>
      <c r="C586" s="185" t="s">
        <v>343</v>
      </c>
      <c r="D586" s="186"/>
      <c r="E586" s="167">
        <v>11.28</v>
      </c>
      <c r="F586" s="47">
        <f>2256000/100000</f>
        <v>22.56</v>
      </c>
      <c r="G586" s="51">
        <v>0</v>
      </c>
      <c r="H586" s="64"/>
    </row>
    <row r="587" spans="1:14" ht="18" customHeight="1" x14ac:dyDescent="0.25">
      <c r="A587" s="175"/>
      <c r="B587" s="175"/>
      <c r="C587" s="185" t="s">
        <v>344</v>
      </c>
      <c r="D587" s="186"/>
      <c r="E587" s="167">
        <v>11.28</v>
      </c>
      <c r="F587" s="47">
        <f>2256000/100000</f>
        <v>22.56</v>
      </c>
      <c r="G587" s="51">
        <v>0.19</v>
      </c>
      <c r="H587" s="64"/>
      <c r="I587" s="52"/>
    </row>
    <row r="588" spans="1:14" ht="18" customHeight="1" x14ac:dyDescent="0.25">
      <c r="A588" s="175"/>
      <c r="B588" s="175"/>
      <c r="C588" s="185" t="s">
        <v>345</v>
      </c>
      <c r="D588" s="186"/>
      <c r="E588" s="167">
        <v>4.32</v>
      </c>
      <c r="F588" s="47">
        <f>408000/100000</f>
        <v>4.08</v>
      </c>
      <c r="G588" s="51">
        <v>4.08</v>
      </c>
      <c r="H588" s="64"/>
    </row>
    <row r="589" spans="1:14" ht="18" customHeight="1" x14ac:dyDescent="0.25">
      <c r="A589" s="175"/>
      <c r="B589" s="175"/>
      <c r="C589" s="185" t="s">
        <v>197</v>
      </c>
      <c r="D589" s="186"/>
      <c r="E589" s="167">
        <v>5.76</v>
      </c>
      <c r="F589" s="47">
        <f>1104000/100000</f>
        <v>11.04</v>
      </c>
      <c r="G589" s="51">
        <v>6.15</v>
      </c>
      <c r="H589" s="64"/>
    </row>
    <row r="590" spans="1:14" ht="18" customHeight="1" x14ac:dyDescent="0.25">
      <c r="A590" s="175"/>
      <c r="B590" s="175"/>
      <c r="C590" s="185" t="s">
        <v>346</v>
      </c>
      <c r="D590" s="186"/>
      <c r="E590" s="167">
        <v>8.64</v>
      </c>
      <c r="F590" s="47">
        <f>840000/100000</f>
        <v>8.4</v>
      </c>
      <c r="G590" s="51">
        <v>0</v>
      </c>
      <c r="H590" s="64"/>
    </row>
    <row r="591" spans="1:14" ht="18" customHeight="1" x14ac:dyDescent="0.25">
      <c r="A591" s="175"/>
      <c r="B591" s="175"/>
      <c r="C591" s="182" t="s">
        <v>652</v>
      </c>
      <c r="D591" s="183"/>
      <c r="E591" s="170">
        <v>5.28</v>
      </c>
      <c r="F591" s="174">
        <v>0</v>
      </c>
      <c r="G591" s="117">
        <v>0</v>
      </c>
      <c r="H591" s="64"/>
    </row>
    <row r="592" spans="1:14" ht="18" customHeight="1" x14ac:dyDescent="0.25">
      <c r="A592" s="175"/>
      <c r="B592" s="175"/>
      <c r="C592" s="185" t="s">
        <v>347</v>
      </c>
      <c r="D592" s="186"/>
      <c r="E592" s="38">
        <v>1</v>
      </c>
      <c r="F592" s="47">
        <f>300000/100000</f>
        <v>3</v>
      </c>
      <c r="G592" s="51">
        <v>0</v>
      </c>
      <c r="H592" s="64"/>
    </row>
    <row r="593" spans="1:14" ht="18" customHeight="1" x14ac:dyDescent="0.25">
      <c r="A593" s="175"/>
      <c r="B593" s="175"/>
      <c r="C593" s="185" t="s">
        <v>348</v>
      </c>
      <c r="D593" s="186"/>
      <c r="E593" s="167">
        <v>9.68</v>
      </c>
      <c r="F593" s="47">
        <f>912000/100000</f>
        <v>9.1199999999999992</v>
      </c>
      <c r="G593" s="51">
        <v>13.55</v>
      </c>
      <c r="H593" s="64"/>
    </row>
    <row r="594" spans="1:14" ht="20.25" customHeight="1" x14ac:dyDescent="0.25">
      <c r="A594" s="175"/>
      <c r="B594" s="175"/>
      <c r="C594" s="185" t="s">
        <v>198</v>
      </c>
      <c r="D594" s="186"/>
      <c r="E594" s="38">
        <v>14.4</v>
      </c>
      <c r="F594" s="47">
        <f>480000/100000</f>
        <v>4.8</v>
      </c>
      <c r="G594" s="51">
        <v>0</v>
      </c>
      <c r="H594" s="64"/>
    </row>
    <row r="595" spans="1:14" ht="18" customHeight="1" x14ac:dyDescent="0.25">
      <c r="A595" s="175"/>
      <c r="B595" s="175"/>
      <c r="C595" s="185" t="s">
        <v>577</v>
      </c>
      <c r="D595" s="185"/>
      <c r="E595" s="62">
        <v>9.83</v>
      </c>
      <c r="F595" s="47">
        <v>0</v>
      </c>
      <c r="G595" s="51">
        <v>0</v>
      </c>
      <c r="H595" s="64">
        <f>E576+E577+E578+E579+E580+E581+E582+E583+E584+E585+E586+E587+E588+E589+E590+E591+E592+E593+E594+E595</f>
        <v>232.66</v>
      </c>
      <c r="I595" s="58">
        <f>F576+F577+F578+F579+F580+F581+F582+F583+F584+F585+F586+F587+F588+F589+F590+F591+F592+F593+F594+F595</f>
        <v>166.07000000000002</v>
      </c>
      <c r="J595" s="39">
        <f>G576+G577+G578+G579+G580+G581+G582+G583+G584+G585+G586+G587+G588+G589+G590+G591+G592+G593+G594+G595</f>
        <v>140.72</v>
      </c>
    </row>
    <row r="596" spans="1:14" ht="29.25" customHeight="1" x14ac:dyDescent="0.25">
      <c r="A596" s="187" t="s">
        <v>678</v>
      </c>
      <c r="B596" s="187"/>
      <c r="C596" s="187"/>
      <c r="D596" s="187"/>
      <c r="E596" s="187"/>
      <c r="F596" s="187"/>
      <c r="G596" s="187"/>
      <c r="H596" s="166"/>
      <c r="I596" s="42"/>
      <c r="J596" s="42"/>
      <c r="K596" s="42"/>
      <c r="L596" s="42"/>
      <c r="M596" s="42"/>
      <c r="N596" s="42"/>
    </row>
    <row r="597" spans="1:14" x14ac:dyDescent="0.25">
      <c r="A597" s="187" t="s">
        <v>53</v>
      </c>
      <c r="B597" s="187"/>
      <c r="C597" s="187"/>
      <c r="D597" s="187"/>
      <c r="E597" s="187"/>
      <c r="F597" s="187"/>
      <c r="G597" s="187"/>
      <c r="H597" s="166"/>
      <c r="I597" s="42"/>
      <c r="J597" s="42"/>
      <c r="K597" s="42"/>
      <c r="L597" s="42"/>
    </row>
    <row r="598" spans="1:14" x14ac:dyDescent="0.25">
      <c r="A598" s="188" t="s">
        <v>54</v>
      </c>
      <c r="B598" s="188"/>
      <c r="C598" s="188"/>
      <c r="D598" s="188"/>
      <c r="E598" s="188"/>
      <c r="F598" s="188"/>
      <c r="G598" s="188"/>
      <c r="H598" s="168"/>
      <c r="I598" s="44"/>
      <c r="J598" s="44"/>
      <c r="K598" s="44"/>
      <c r="L598" s="44"/>
    </row>
    <row r="599" spans="1:14" x14ac:dyDescent="0.25">
      <c r="A599" s="44"/>
      <c r="B599" s="44"/>
      <c r="C599" s="44"/>
      <c r="D599" s="44"/>
      <c r="E599" s="44"/>
      <c r="G599" s="44"/>
      <c r="H599" s="44"/>
      <c r="I599" s="168"/>
      <c r="J599" s="168"/>
      <c r="K599" s="168"/>
      <c r="L599" s="168"/>
    </row>
    <row r="600" spans="1:14" x14ac:dyDescent="0.25">
      <c r="A600" s="189" t="s">
        <v>244</v>
      </c>
      <c r="B600" s="178"/>
      <c r="C600" s="190" t="s">
        <v>72</v>
      </c>
      <c r="D600" s="190"/>
      <c r="E600" s="190"/>
      <c r="F600" s="190"/>
      <c r="G600" s="191"/>
      <c r="H600" s="173"/>
      <c r="I600" s="168"/>
      <c r="J600" s="168"/>
      <c r="K600" s="168"/>
      <c r="L600" s="44"/>
      <c r="M600" s="44"/>
      <c r="N600" s="168"/>
    </row>
    <row r="601" spans="1:14" x14ac:dyDescent="0.25">
      <c r="A601" s="176" t="s">
        <v>70</v>
      </c>
      <c r="B601" s="177"/>
      <c r="C601" s="176" t="s">
        <v>51</v>
      </c>
      <c r="D601" s="184"/>
      <c r="E601" s="178" t="s">
        <v>99</v>
      </c>
      <c r="F601" s="178"/>
      <c r="G601" s="179"/>
      <c r="H601" s="166"/>
      <c r="I601" s="168"/>
      <c r="J601" s="168"/>
      <c r="K601" s="168"/>
      <c r="L601" s="44"/>
      <c r="M601" s="44"/>
      <c r="N601" s="168"/>
    </row>
    <row r="602" spans="1:14" x14ac:dyDescent="0.25">
      <c r="A602" s="180"/>
      <c r="B602" s="181"/>
      <c r="C602" s="180"/>
      <c r="D602" s="181"/>
      <c r="E602" s="164" t="s">
        <v>597</v>
      </c>
      <c r="F602" s="165" t="s">
        <v>57</v>
      </c>
      <c r="G602" s="165" t="s">
        <v>55</v>
      </c>
      <c r="H602" s="166"/>
      <c r="I602" s="168"/>
      <c r="J602" s="168"/>
      <c r="K602" s="168"/>
      <c r="L602" s="44"/>
      <c r="M602" s="44"/>
      <c r="N602" s="168"/>
    </row>
    <row r="603" spans="1:14" ht="18" customHeight="1" x14ac:dyDescent="0.25">
      <c r="A603" s="175" t="s">
        <v>275</v>
      </c>
      <c r="B603" s="175"/>
      <c r="C603" s="185" t="s">
        <v>570</v>
      </c>
      <c r="D603" s="185"/>
      <c r="E603" s="50">
        <v>2.4</v>
      </c>
      <c r="F603" s="47">
        <v>0</v>
      </c>
      <c r="G603" s="51">
        <v>0.38</v>
      </c>
      <c r="H603" s="64"/>
    </row>
    <row r="604" spans="1:14" ht="18" customHeight="1" x14ac:dyDescent="0.25">
      <c r="A604" s="175"/>
      <c r="B604" s="175"/>
      <c r="C604" s="185" t="s">
        <v>349</v>
      </c>
      <c r="D604" s="186"/>
      <c r="E604" s="167">
        <v>6.44</v>
      </c>
      <c r="F604" s="47">
        <f>816000/100000</f>
        <v>8.16</v>
      </c>
      <c r="G604" s="51">
        <v>0.63</v>
      </c>
      <c r="H604" s="64"/>
    </row>
    <row r="605" spans="1:14" ht="18" customHeight="1" x14ac:dyDescent="0.25">
      <c r="A605" s="175"/>
      <c r="B605" s="175"/>
      <c r="C605" s="185" t="s">
        <v>350</v>
      </c>
      <c r="D605" s="186"/>
      <c r="E605" s="38">
        <v>1.5</v>
      </c>
      <c r="F605" s="47">
        <f>25000/100000</f>
        <v>0.25</v>
      </c>
      <c r="G605" s="51">
        <v>10.75</v>
      </c>
      <c r="H605" s="64"/>
    </row>
    <row r="606" spans="1:14" ht="18" customHeight="1" x14ac:dyDescent="0.25">
      <c r="A606" s="175"/>
      <c r="B606" s="175"/>
      <c r="C606" s="185" t="s">
        <v>351</v>
      </c>
      <c r="D606" s="186"/>
      <c r="E606" s="167">
        <v>14.16</v>
      </c>
      <c r="F606" s="47">
        <f>1236000/100000</f>
        <v>12.36</v>
      </c>
      <c r="G606" s="51">
        <v>8.6999999999999993</v>
      </c>
      <c r="H606" s="66"/>
      <c r="I606" s="56"/>
      <c r="J606" s="87"/>
    </row>
    <row r="607" spans="1:14" ht="18" customHeight="1" x14ac:dyDescent="0.25">
      <c r="A607" s="175"/>
      <c r="B607" s="175"/>
      <c r="C607" s="183" t="s">
        <v>578</v>
      </c>
      <c r="D607" s="185"/>
      <c r="E607" s="50">
        <v>13.44</v>
      </c>
      <c r="F607" s="47">
        <v>0</v>
      </c>
      <c r="G607" s="51">
        <v>0</v>
      </c>
      <c r="H607" s="64"/>
    </row>
    <row r="608" spans="1:14" ht="15.4" customHeight="1" x14ac:dyDescent="0.25">
      <c r="A608" s="175"/>
      <c r="B608" s="175"/>
      <c r="C608" s="185" t="s">
        <v>352</v>
      </c>
      <c r="D608" s="186"/>
      <c r="E608" s="121">
        <v>6.8</v>
      </c>
      <c r="F608" s="47">
        <f>960000/100000</f>
        <v>9.6</v>
      </c>
      <c r="G608" s="51">
        <v>5.05</v>
      </c>
      <c r="H608" s="64"/>
    </row>
    <row r="609" spans="1:14" ht="16.5" customHeight="1" x14ac:dyDescent="0.25">
      <c r="A609" s="175"/>
      <c r="B609" s="175"/>
      <c r="C609" s="185" t="s">
        <v>353</v>
      </c>
      <c r="D609" s="186"/>
      <c r="E609" s="167">
        <v>6.72</v>
      </c>
      <c r="F609" s="47">
        <f>276000/100000</f>
        <v>2.76</v>
      </c>
      <c r="G609" s="51">
        <v>0</v>
      </c>
      <c r="H609" s="64"/>
    </row>
    <row r="610" spans="1:14" ht="15.4" customHeight="1" x14ac:dyDescent="0.25">
      <c r="A610" s="175"/>
      <c r="B610" s="175"/>
      <c r="C610" s="185" t="s">
        <v>199</v>
      </c>
      <c r="D610" s="186"/>
      <c r="E610" s="38">
        <v>3</v>
      </c>
      <c r="F610" s="47">
        <f>288000/100000</f>
        <v>2.88</v>
      </c>
      <c r="G610" s="51">
        <v>0.59</v>
      </c>
      <c r="H610" s="64"/>
      <c r="I610" s="39"/>
      <c r="J610" s="39"/>
    </row>
    <row r="611" spans="1:14" ht="18" customHeight="1" x14ac:dyDescent="0.25">
      <c r="A611" s="175"/>
      <c r="B611" s="175"/>
      <c r="C611" s="185" t="s">
        <v>354</v>
      </c>
      <c r="D611" s="186"/>
      <c r="E611" s="167">
        <v>8.18</v>
      </c>
      <c r="F611" s="47">
        <f>552000/100000</f>
        <v>5.52</v>
      </c>
      <c r="G611" s="51">
        <v>5.77</v>
      </c>
      <c r="H611" s="64"/>
    </row>
    <row r="612" spans="1:14" ht="18" customHeight="1" x14ac:dyDescent="0.25">
      <c r="A612" s="175"/>
      <c r="B612" s="175"/>
      <c r="C612" s="185" t="s">
        <v>355</v>
      </c>
      <c r="D612" s="186"/>
      <c r="E612" s="167">
        <v>2.04</v>
      </c>
      <c r="F612" s="47">
        <f>384000/100000</f>
        <v>3.84</v>
      </c>
      <c r="G612" s="51">
        <v>1.1200000000000001</v>
      </c>
      <c r="H612" s="64"/>
    </row>
    <row r="613" spans="1:14" ht="18" customHeight="1" x14ac:dyDescent="0.25">
      <c r="A613" s="175"/>
      <c r="B613" s="175"/>
      <c r="C613" s="185" t="s">
        <v>571</v>
      </c>
      <c r="D613" s="185"/>
      <c r="E613" s="62">
        <v>5.42</v>
      </c>
      <c r="F613" s="47">
        <v>0</v>
      </c>
      <c r="G613" s="51">
        <v>5.0999999999999996</v>
      </c>
      <c r="H613" s="64"/>
    </row>
    <row r="614" spans="1:14" ht="18" customHeight="1" x14ac:dyDescent="0.25">
      <c r="A614" s="175"/>
      <c r="B614" s="175"/>
      <c r="C614" s="185" t="s">
        <v>324</v>
      </c>
      <c r="D614" s="186"/>
      <c r="E614" s="38">
        <v>0</v>
      </c>
      <c r="F614" s="47">
        <f>720000/100000</f>
        <v>7.2</v>
      </c>
      <c r="G614" s="51">
        <v>9.6</v>
      </c>
      <c r="H614" s="66"/>
      <c r="I614" s="56"/>
      <c r="J614" s="56"/>
    </row>
    <row r="615" spans="1:14" ht="21" customHeight="1" x14ac:dyDescent="0.25">
      <c r="A615" s="175"/>
      <c r="B615" s="175"/>
      <c r="C615" s="185" t="s">
        <v>310</v>
      </c>
      <c r="D615" s="186"/>
      <c r="E615" s="38">
        <v>0</v>
      </c>
      <c r="F615" s="47">
        <f>456000/100000</f>
        <v>4.5599999999999996</v>
      </c>
      <c r="G615" s="51">
        <v>11.76</v>
      </c>
      <c r="H615" s="64"/>
    </row>
    <row r="616" spans="1:14" ht="20.25" customHeight="1" x14ac:dyDescent="0.25">
      <c r="A616" s="175"/>
      <c r="B616" s="175"/>
      <c r="C616" s="185" t="s">
        <v>574</v>
      </c>
      <c r="D616" s="185"/>
      <c r="E616" s="50">
        <v>0</v>
      </c>
      <c r="F616" s="47">
        <v>0</v>
      </c>
      <c r="G616" s="51">
        <v>1.1299999999999999</v>
      </c>
      <c r="H616" s="64"/>
    </row>
    <row r="617" spans="1:14" ht="19.5" customHeight="1" x14ac:dyDescent="0.25">
      <c r="A617" s="175"/>
      <c r="B617" s="175"/>
      <c r="C617" s="185" t="s">
        <v>316</v>
      </c>
      <c r="D617" s="186"/>
      <c r="E617" s="38">
        <v>0</v>
      </c>
      <c r="F617" s="47">
        <f>300000/100000</f>
        <v>3</v>
      </c>
      <c r="G617" s="51">
        <v>0.38</v>
      </c>
      <c r="H617" s="64"/>
    </row>
    <row r="618" spans="1:14" ht="19.5" customHeight="1" x14ac:dyDescent="0.25">
      <c r="A618" s="175"/>
      <c r="B618" s="175"/>
      <c r="C618" s="185" t="s">
        <v>544</v>
      </c>
      <c r="D618" s="185"/>
      <c r="E618" s="38">
        <v>0</v>
      </c>
      <c r="F618" s="47">
        <v>0</v>
      </c>
      <c r="G618" s="51">
        <v>0.5</v>
      </c>
      <c r="H618" s="64"/>
    </row>
    <row r="619" spans="1:14" ht="19.5" customHeight="1" x14ac:dyDescent="0.25">
      <c r="A619" s="175"/>
      <c r="B619" s="175"/>
      <c r="C619" s="185" t="s">
        <v>545</v>
      </c>
      <c r="D619" s="185"/>
      <c r="E619" s="38">
        <v>0</v>
      </c>
      <c r="F619" s="47">
        <v>0</v>
      </c>
      <c r="G619" s="51">
        <v>3.97</v>
      </c>
      <c r="H619" s="64"/>
    </row>
    <row r="620" spans="1:14" ht="16.5" customHeight="1" x14ac:dyDescent="0.25">
      <c r="A620" s="175"/>
      <c r="B620" s="175"/>
      <c r="C620" s="185" t="s">
        <v>317</v>
      </c>
      <c r="D620" s="186"/>
      <c r="E620" s="38">
        <v>0</v>
      </c>
      <c r="F620" s="174">
        <f>187500/100000</f>
        <v>1.875</v>
      </c>
      <c r="G620" s="117">
        <v>0</v>
      </c>
      <c r="H620" s="64"/>
    </row>
    <row r="621" spans="1:14" ht="19.5" customHeight="1" x14ac:dyDescent="0.25">
      <c r="A621" s="175"/>
      <c r="B621" s="175"/>
      <c r="C621" s="185" t="s">
        <v>318</v>
      </c>
      <c r="D621" s="186"/>
      <c r="E621" s="38">
        <v>0</v>
      </c>
      <c r="F621" s="47">
        <f>262500/100000</f>
        <v>2.625</v>
      </c>
      <c r="G621" s="51">
        <v>0</v>
      </c>
      <c r="H621" s="64"/>
    </row>
    <row r="622" spans="1:14" ht="24.75" customHeight="1" x14ac:dyDescent="0.25">
      <c r="A622" s="175"/>
      <c r="B622" s="175"/>
      <c r="C622" s="185" t="s">
        <v>177</v>
      </c>
      <c r="D622" s="186"/>
      <c r="E622" s="38">
        <v>0</v>
      </c>
      <c r="F622" s="47">
        <f>50000/100000</f>
        <v>0.5</v>
      </c>
      <c r="G622" s="51">
        <v>1.88</v>
      </c>
      <c r="H622" s="64">
        <f>E603+E604+E605+E606+E607+E608+E609+E610+E611+E612+E613+E614+E615+E616+E617+E618+E619+E620+E621+E622</f>
        <v>70.099999999999994</v>
      </c>
      <c r="I622" s="58">
        <f>F603+F604+F605+F606+F607+F608+F609+F610+F611+F612+F613+F614+F615+F616+F617+F618+F619+F620+F621+F622</f>
        <v>65.13000000000001</v>
      </c>
      <c r="J622" s="39">
        <f>G603+G604+G605+G606+G607+G608+G609+G610+G611+G612+G613+G614+G615+G616+G617+G618+G619+G620+G621+G622</f>
        <v>67.31</v>
      </c>
    </row>
    <row r="623" spans="1:14" ht="29.25" customHeight="1" x14ac:dyDescent="0.25">
      <c r="A623" s="187" t="s">
        <v>678</v>
      </c>
      <c r="B623" s="187"/>
      <c r="C623" s="187"/>
      <c r="D623" s="187"/>
      <c r="E623" s="187"/>
      <c r="F623" s="187"/>
      <c r="G623" s="187"/>
      <c r="H623" s="166"/>
      <c r="I623" s="42"/>
      <c r="J623" s="42"/>
      <c r="K623" s="42"/>
      <c r="L623" s="42"/>
      <c r="M623" s="42"/>
      <c r="N623" s="42"/>
    </row>
    <row r="624" spans="1:14" x14ac:dyDescent="0.25">
      <c r="A624" s="187" t="s">
        <v>53</v>
      </c>
      <c r="B624" s="187"/>
      <c r="C624" s="187"/>
      <c r="D624" s="187"/>
      <c r="E624" s="187"/>
      <c r="F624" s="187"/>
      <c r="G624" s="187"/>
      <c r="H624" s="166"/>
      <c r="I624" s="42"/>
      <c r="J624" s="42"/>
      <c r="K624" s="42"/>
      <c r="L624" s="42"/>
    </row>
    <row r="625" spans="1:14" x14ac:dyDescent="0.25">
      <c r="A625" s="188" t="s">
        <v>54</v>
      </c>
      <c r="B625" s="188"/>
      <c r="C625" s="188"/>
      <c r="D625" s="188"/>
      <c r="E625" s="188"/>
      <c r="F625" s="188"/>
      <c r="G625" s="188"/>
      <c r="H625" s="168"/>
      <c r="I625" s="44"/>
      <c r="J625" s="44"/>
      <c r="K625" s="44"/>
      <c r="L625" s="44"/>
    </row>
    <row r="626" spans="1:14" x14ac:dyDescent="0.25">
      <c r="A626" s="44"/>
      <c r="B626" s="44"/>
      <c r="C626" s="44"/>
      <c r="D626" s="44"/>
      <c r="E626" s="44"/>
      <c r="G626" s="44"/>
      <c r="H626" s="44"/>
      <c r="I626" s="168"/>
      <c r="J626" s="168"/>
      <c r="K626" s="168"/>
      <c r="L626" s="168"/>
    </row>
    <row r="627" spans="1:14" x14ac:dyDescent="0.25">
      <c r="A627" s="189" t="s">
        <v>244</v>
      </c>
      <c r="B627" s="178"/>
      <c r="C627" s="190" t="s">
        <v>72</v>
      </c>
      <c r="D627" s="190"/>
      <c r="E627" s="190"/>
      <c r="F627" s="190"/>
      <c r="G627" s="191"/>
      <c r="H627" s="173"/>
      <c r="I627" s="168"/>
      <c r="J627" s="168"/>
      <c r="K627" s="168"/>
      <c r="L627" s="44"/>
      <c r="M627" s="44"/>
      <c r="N627" s="168"/>
    </row>
    <row r="628" spans="1:14" x14ac:dyDescent="0.25">
      <c r="A628" s="176" t="s">
        <v>70</v>
      </c>
      <c r="B628" s="177"/>
      <c r="C628" s="176" t="s">
        <v>51</v>
      </c>
      <c r="D628" s="184"/>
      <c r="E628" s="178" t="s">
        <v>99</v>
      </c>
      <c r="F628" s="178"/>
      <c r="G628" s="179"/>
      <c r="H628" s="166"/>
      <c r="I628" s="168"/>
      <c r="J628" s="168"/>
      <c r="K628" s="168"/>
      <c r="L628" s="44"/>
      <c r="M628" s="44"/>
      <c r="N628" s="168"/>
    </row>
    <row r="629" spans="1:14" x14ac:dyDescent="0.25">
      <c r="A629" s="180"/>
      <c r="B629" s="181"/>
      <c r="C629" s="180"/>
      <c r="D629" s="181"/>
      <c r="E629" s="164" t="s">
        <v>597</v>
      </c>
      <c r="F629" s="165" t="s">
        <v>57</v>
      </c>
      <c r="G629" s="165" t="s">
        <v>55</v>
      </c>
      <c r="H629" s="166"/>
      <c r="I629" s="168"/>
      <c r="J629" s="168"/>
      <c r="K629" s="168"/>
      <c r="L629" s="44"/>
      <c r="M629" s="44"/>
      <c r="N629" s="168"/>
    </row>
    <row r="630" spans="1:14" ht="19.5" customHeight="1" x14ac:dyDescent="0.25">
      <c r="A630" s="175" t="s">
        <v>275</v>
      </c>
      <c r="B630" s="175"/>
      <c r="C630" s="185" t="s">
        <v>319</v>
      </c>
      <c r="D630" s="186"/>
      <c r="E630" s="38">
        <v>0</v>
      </c>
      <c r="F630" s="47">
        <f>37500/100000</f>
        <v>0.375</v>
      </c>
      <c r="G630" s="120">
        <v>0</v>
      </c>
      <c r="H630" s="64"/>
      <c r="I630" s="52"/>
    </row>
    <row r="631" spans="1:14" ht="18" customHeight="1" x14ac:dyDescent="0.25">
      <c r="A631" s="175"/>
      <c r="B631" s="175"/>
      <c r="C631" s="185" t="s">
        <v>551</v>
      </c>
      <c r="D631" s="185"/>
      <c r="E631" s="50">
        <v>0</v>
      </c>
      <c r="F631" s="47">
        <v>0</v>
      </c>
      <c r="G631" s="51">
        <v>0.75</v>
      </c>
      <c r="H631" s="64"/>
    </row>
    <row r="632" spans="1:14" ht="18" customHeight="1" x14ac:dyDescent="0.25">
      <c r="A632" s="175"/>
      <c r="B632" s="175"/>
      <c r="C632" s="185" t="s">
        <v>185</v>
      </c>
      <c r="D632" s="186"/>
      <c r="E632" s="38">
        <v>0</v>
      </c>
      <c r="F632" s="47">
        <f>112500/100000</f>
        <v>1.125</v>
      </c>
      <c r="G632" s="51">
        <v>0</v>
      </c>
      <c r="H632" s="64"/>
    </row>
    <row r="633" spans="1:14" ht="18" customHeight="1" x14ac:dyDescent="0.25">
      <c r="A633" s="175"/>
      <c r="B633" s="175"/>
      <c r="C633" s="185" t="s">
        <v>186</v>
      </c>
      <c r="D633" s="186"/>
      <c r="E633" s="38">
        <v>0</v>
      </c>
      <c r="F633" s="47">
        <f>112500/100000</f>
        <v>1.125</v>
      </c>
      <c r="G633" s="51">
        <v>0</v>
      </c>
      <c r="H633" s="64"/>
    </row>
    <row r="634" spans="1:14" ht="15" customHeight="1" x14ac:dyDescent="0.25">
      <c r="A634" s="175"/>
      <c r="B634" s="175"/>
      <c r="C634" s="185" t="s">
        <v>188</v>
      </c>
      <c r="D634" s="186"/>
      <c r="E634" s="38">
        <v>0</v>
      </c>
      <c r="F634" s="47">
        <f>112500/100000</f>
        <v>1.125</v>
      </c>
      <c r="G634" s="51">
        <v>0.13</v>
      </c>
      <c r="H634" s="64"/>
    </row>
    <row r="635" spans="1:14" ht="15.75" customHeight="1" x14ac:dyDescent="0.25">
      <c r="A635" s="175"/>
      <c r="B635" s="175"/>
      <c r="C635" s="185" t="s">
        <v>189</v>
      </c>
      <c r="D635" s="186"/>
      <c r="E635" s="38">
        <v>0</v>
      </c>
      <c r="F635" s="47">
        <f>150000/100000</f>
        <v>1.5</v>
      </c>
      <c r="G635" s="51">
        <v>0</v>
      </c>
      <c r="H635" s="64"/>
    </row>
    <row r="636" spans="1:14" ht="18" customHeight="1" x14ac:dyDescent="0.25">
      <c r="A636" s="175"/>
      <c r="B636" s="175"/>
      <c r="C636" s="185" t="s">
        <v>190</v>
      </c>
      <c r="D636" s="186"/>
      <c r="E636" s="38">
        <v>0</v>
      </c>
      <c r="F636" s="47">
        <f>150000/100000</f>
        <v>1.5</v>
      </c>
      <c r="G636" s="51">
        <v>0</v>
      </c>
      <c r="H636" s="64"/>
    </row>
    <row r="637" spans="1:14" ht="18" customHeight="1" x14ac:dyDescent="0.25">
      <c r="A637" s="175"/>
      <c r="B637" s="175"/>
      <c r="C637" s="185" t="s">
        <v>579</v>
      </c>
      <c r="D637" s="185"/>
      <c r="E637" s="50">
        <v>0</v>
      </c>
      <c r="F637" s="47">
        <v>0</v>
      </c>
      <c r="G637" s="51">
        <v>0.5</v>
      </c>
      <c r="H637" s="64"/>
    </row>
    <row r="638" spans="1:14" ht="18" customHeight="1" x14ac:dyDescent="0.25">
      <c r="A638" s="175"/>
      <c r="B638" s="175"/>
      <c r="C638" s="185" t="s">
        <v>555</v>
      </c>
      <c r="D638" s="185"/>
      <c r="E638" s="50">
        <v>0</v>
      </c>
      <c r="F638" s="47">
        <v>0</v>
      </c>
      <c r="G638" s="51">
        <v>0.25</v>
      </c>
      <c r="H638" s="64"/>
    </row>
    <row r="639" spans="1:14" ht="18" customHeight="1" x14ac:dyDescent="0.25">
      <c r="A639" s="175"/>
      <c r="B639" s="175"/>
      <c r="C639" s="185" t="s">
        <v>556</v>
      </c>
      <c r="D639" s="185"/>
      <c r="E639" s="50">
        <v>0</v>
      </c>
      <c r="F639" s="47">
        <v>0</v>
      </c>
      <c r="G639" s="51">
        <v>0.75</v>
      </c>
      <c r="H639" s="64"/>
    </row>
    <row r="640" spans="1:14" ht="18" customHeight="1" x14ac:dyDescent="0.25">
      <c r="A640" s="175"/>
      <c r="B640" s="175"/>
      <c r="C640" s="185" t="s">
        <v>327</v>
      </c>
      <c r="D640" s="186"/>
      <c r="E640" s="50">
        <v>0</v>
      </c>
      <c r="F640" s="47">
        <f>67500/100000</f>
        <v>0.67500000000000004</v>
      </c>
      <c r="G640" s="51">
        <v>0</v>
      </c>
      <c r="H640" s="64"/>
    </row>
    <row r="641" spans="1:14" ht="18" customHeight="1" x14ac:dyDescent="0.25">
      <c r="A641" s="175"/>
      <c r="B641" s="175"/>
      <c r="C641" s="185" t="s">
        <v>328</v>
      </c>
      <c r="D641" s="186"/>
      <c r="E641" s="50">
        <v>0</v>
      </c>
      <c r="F641" s="47">
        <f>225000/100000</f>
        <v>2.25</v>
      </c>
      <c r="G641" s="51">
        <v>0</v>
      </c>
      <c r="H641" s="64"/>
    </row>
    <row r="642" spans="1:14" ht="18" customHeight="1" x14ac:dyDescent="0.25">
      <c r="A642" s="175"/>
      <c r="B642" s="175"/>
      <c r="C642" s="185" t="s">
        <v>569</v>
      </c>
      <c r="D642" s="185"/>
      <c r="E642" s="50">
        <v>0</v>
      </c>
      <c r="F642" s="47">
        <v>0</v>
      </c>
      <c r="G642" s="51">
        <v>0.41</v>
      </c>
      <c r="H642" s="64"/>
    </row>
    <row r="643" spans="1:14" ht="23.25" customHeight="1" x14ac:dyDescent="0.25">
      <c r="A643" s="175"/>
      <c r="B643" s="175"/>
      <c r="C643" s="185" t="s">
        <v>192</v>
      </c>
      <c r="D643" s="186"/>
      <c r="E643" s="57">
        <v>0</v>
      </c>
      <c r="F643" s="174">
        <f>112500/100000</f>
        <v>1.125</v>
      </c>
      <c r="G643" s="117">
        <v>0</v>
      </c>
      <c r="H643" s="66"/>
      <c r="I643" s="87"/>
      <c r="J643" s="87"/>
    </row>
    <row r="644" spans="1:14" ht="19.5" customHeight="1" x14ac:dyDescent="0.25">
      <c r="A644" s="175"/>
      <c r="B644" s="175"/>
      <c r="C644" s="185" t="s">
        <v>330</v>
      </c>
      <c r="D644" s="186"/>
      <c r="E644" s="57">
        <v>0</v>
      </c>
      <c r="F644" s="174">
        <f>50000/100000</f>
        <v>0.5</v>
      </c>
      <c r="G644" s="117">
        <v>0</v>
      </c>
      <c r="H644" s="64"/>
    </row>
    <row r="645" spans="1:14" ht="19.5" customHeight="1" x14ac:dyDescent="0.25">
      <c r="A645" s="175"/>
      <c r="B645" s="175"/>
      <c r="C645" s="185" t="s">
        <v>558</v>
      </c>
      <c r="D645" s="185"/>
      <c r="E645" s="50">
        <v>0</v>
      </c>
      <c r="F645" s="83">
        <v>0</v>
      </c>
      <c r="G645" s="51">
        <v>3.98</v>
      </c>
      <c r="H645" s="64"/>
      <c r="I645" s="39"/>
      <c r="J645" s="39"/>
    </row>
    <row r="646" spans="1:14" ht="18" customHeight="1" x14ac:dyDescent="0.25">
      <c r="A646" s="175"/>
      <c r="B646" s="175"/>
      <c r="C646" s="185" t="s">
        <v>333</v>
      </c>
      <c r="D646" s="186"/>
      <c r="E646" s="38">
        <v>0</v>
      </c>
      <c r="F646" s="83">
        <f>187500/100000</f>
        <v>1.875</v>
      </c>
      <c r="G646" s="51">
        <v>0</v>
      </c>
      <c r="H646" s="64"/>
    </row>
    <row r="647" spans="1:14" ht="18" customHeight="1" x14ac:dyDescent="0.25">
      <c r="A647" s="175"/>
      <c r="B647" s="175"/>
      <c r="C647" s="185" t="s">
        <v>560</v>
      </c>
      <c r="D647" s="185"/>
      <c r="E647" s="50">
        <v>0</v>
      </c>
      <c r="F647" s="83">
        <v>0</v>
      </c>
      <c r="G647" s="51">
        <v>1.1299999999999999</v>
      </c>
      <c r="H647" s="64"/>
    </row>
    <row r="648" spans="1:14" ht="19.5" customHeight="1" x14ac:dyDescent="0.25">
      <c r="A648" s="175"/>
      <c r="B648" s="175"/>
      <c r="C648" s="185" t="s">
        <v>561</v>
      </c>
      <c r="D648" s="185"/>
      <c r="E648" s="50">
        <v>0</v>
      </c>
      <c r="F648" s="83">
        <v>0</v>
      </c>
      <c r="G648" s="51">
        <v>0.75</v>
      </c>
      <c r="H648" s="64"/>
    </row>
    <row r="649" spans="1:14" ht="22.5" customHeight="1" x14ac:dyDescent="0.25">
      <c r="A649" s="175"/>
      <c r="B649" s="175"/>
      <c r="C649" s="185" t="s">
        <v>562</v>
      </c>
      <c r="D649" s="185"/>
      <c r="E649" s="50">
        <v>0</v>
      </c>
      <c r="F649" s="83">
        <v>0</v>
      </c>
      <c r="G649" s="51">
        <v>1.88</v>
      </c>
      <c r="H649" s="64">
        <f>E630+E631+E632+E633+E634+E635+E636+E637+E638+E639+E640+E641+E642+E643+E644+E645+E646+E647+E648+E649</f>
        <v>0</v>
      </c>
      <c r="I649" s="58">
        <f>F630+F631+F632+F633+F634+F635+F636+F637+F638+F639+F640+F641+F642+F643+F644+F645+F646+F647+F648+F649</f>
        <v>13.175000000000001</v>
      </c>
      <c r="J649" s="39">
        <f>G630+G631+G632+G633+G634+G635+G636+G637+G638+G639+G640+G641+G642+G643+G644+G645+G646+G647+G648+G649</f>
        <v>10.529999999999998</v>
      </c>
    </row>
    <row r="650" spans="1:14" ht="29.25" customHeight="1" x14ac:dyDescent="0.25">
      <c r="A650" s="187" t="s">
        <v>678</v>
      </c>
      <c r="B650" s="187"/>
      <c r="C650" s="187"/>
      <c r="D650" s="187"/>
      <c r="E650" s="187"/>
      <c r="F650" s="187"/>
      <c r="G650" s="187"/>
      <c r="H650" s="166"/>
      <c r="I650" s="42"/>
      <c r="J650" s="42"/>
      <c r="K650" s="42"/>
      <c r="L650" s="42"/>
      <c r="M650" s="42"/>
      <c r="N650" s="42"/>
    </row>
    <row r="651" spans="1:14" x14ac:dyDescent="0.25">
      <c r="A651" s="187" t="s">
        <v>53</v>
      </c>
      <c r="B651" s="187"/>
      <c r="C651" s="187"/>
      <c r="D651" s="187"/>
      <c r="E651" s="187"/>
      <c r="F651" s="187"/>
      <c r="G651" s="187"/>
      <c r="H651" s="166"/>
      <c r="I651" s="42"/>
      <c r="J651" s="42"/>
      <c r="K651" s="42"/>
      <c r="L651" s="42"/>
    </row>
    <row r="652" spans="1:14" x14ac:dyDescent="0.25">
      <c r="A652" s="188" t="s">
        <v>54</v>
      </c>
      <c r="B652" s="188"/>
      <c r="C652" s="188"/>
      <c r="D652" s="188"/>
      <c r="E652" s="188"/>
      <c r="F652" s="188"/>
      <c r="G652" s="188"/>
      <c r="H652" s="168"/>
      <c r="I652" s="44"/>
      <c r="J652" s="44"/>
      <c r="K652" s="44"/>
      <c r="L652" s="44"/>
    </row>
    <row r="653" spans="1:14" x14ac:dyDescent="0.25">
      <c r="A653" s="44"/>
      <c r="B653" s="44"/>
      <c r="C653" s="44"/>
      <c r="D653" s="44"/>
      <c r="E653" s="44"/>
      <c r="G653" s="44"/>
      <c r="H653" s="44"/>
      <c r="I653" s="168"/>
      <c r="J653" s="168"/>
      <c r="K653" s="168"/>
      <c r="L653" s="168"/>
    </row>
    <row r="654" spans="1:14" x14ac:dyDescent="0.25">
      <c r="A654" s="189" t="s">
        <v>244</v>
      </c>
      <c r="B654" s="178"/>
      <c r="C654" s="190" t="s">
        <v>72</v>
      </c>
      <c r="D654" s="190"/>
      <c r="E654" s="190"/>
      <c r="F654" s="190"/>
      <c r="G654" s="191"/>
      <c r="H654" s="173"/>
      <c r="I654" s="168"/>
      <c r="J654" s="168"/>
      <c r="K654" s="168"/>
      <c r="L654" s="44"/>
      <c r="M654" s="44"/>
      <c r="N654" s="168"/>
    </row>
    <row r="655" spans="1:14" x14ac:dyDescent="0.25">
      <c r="A655" s="176" t="s">
        <v>70</v>
      </c>
      <c r="B655" s="177"/>
      <c r="C655" s="176" t="s">
        <v>51</v>
      </c>
      <c r="D655" s="184"/>
      <c r="E655" s="178" t="s">
        <v>99</v>
      </c>
      <c r="F655" s="178"/>
      <c r="G655" s="179"/>
      <c r="H655" s="166"/>
      <c r="I655" s="168"/>
      <c r="J655" s="168"/>
      <c r="K655" s="168"/>
      <c r="L655" s="44"/>
      <c r="M655" s="44"/>
      <c r="N655" s="168"/>
    </row>
    <row r="656" spans="1:14" x14ac:dyDescent="0.25">
      <c r="A656" s="180"/>
      <c r="B656" s="181"/>
      <c r="C656" s="180"/>
      <c r="D656" s="181"/>
      <c r="E656" s="164" t="s">
        <v>597</v>
      </c>
      <c r="F656" s="165" t="s">
        <v>57</v>
      </c>
      <c r="G656" s="165" t="s">
        <v>55</v>
      </c>
      <c r="H656" s="166"/>
      <c r="I656" s="168"/>
      <c r="J656" s="168"/>
      <c r="K656" s="168"/>
      <c r="L656" s="44"/>
      <c r="M656" s="44"/>
      <c r="N656" s="168"/>
    </row>
    <row r="657" spans="1:14" ht="20.25" customHeight="1" x14ac:dyDescent="0.25">
      <c r="A657" s="175" t="s">
        <v>275</v>
      </c>
      <c r="B657" s="175"/>
      <c r="C657" s="185" t="s">
        <v>563</v>
      </c>
      <c r="D657" s="185"/>
      <c r="E657" s="37">
        <v>0</v>
      </c>
      <c r="F657" s="93">
        <v>0</v>
      </c>
      <c r="G657" s="117">
        <v>1.5</v>
      </c>
      <c r="H657" s="64"/>
      <c r="I657" s="39"/>
      <c r="J657" s="39"/>
    </row>
    <row r="658" spans="1:14" ht="18" customHeight="1" x14ac:dyDescent="0.25">
      <c r="A658" s="175"/>
      <c r="B658" s="175"/>
      <c r="C658" s="185" t="s">
        <v>564</v>
      </c>
      <c r="D658" s="185"/>
      <c r="E658" s="37">
        <v>0</v>
      </c>
      <c r="F658" s="83">
        <v>0</v>
      </c>
      <c r="G658" s="51">
        <v>3.98</v>
      </c>
      <c r="H658" s="64"/>
    </row>
    <row r="659" spans="1:14" ht="18" customHeight="1" x14ac:dyDescent="0.25">
      <c r="A659" s="175"/>
      <c r="B659" s="175"/>
      <c r="C659" s="185" t="s">
        <v>566</v>
      </c>
      <c r="D659" s="185"/>
      <c r="E659" s="50">
        <v>0</v>
      </c>
      <c r="F659" s="83">
        <v>0</v>
      </c>
      <c r="G659" s="51">
        <v>1.5</v>
      </c>
      <c r="H659" s="64"/>
    </row>
    <row r="660" spans="1:14" ht="31.5" customHeight="1" x14ac:dyDescent="0.25">
      <c r="A660" s="175"/>
      <c r="B660" s="175"/>
      <c r="C660" s="193" t="s">
        <v>334</v>
      </c>
      <c r="D660" s="194"/>
      <c r="E660" s="57">
        <v>0</v>
      </c>
      <c r="F660" s="174">
        <f>1012500/100000</f>
        <v>10.125</v>
      </c>
      <c r="G660" s="117">
        <v>0</v>
      </c>
      <c r="H660" s="66"/>
    </row>
    <row r="661" spans="1:14" ht="18" customHeight="1" x14ac:dyDescent="0.25">
      <c r="A661" s="175"/>
      <c r="B661" s="175"/>
      <c r="C661" s="185" t="s">
        <v>196</v>
      </c>
      <c r="D661" s="186"/>
      <c r="E661" s="38">
        <v>0</v>
      </c>
      <c r="F661" s="47">
        <f>472500/100000</f>
        <v>4.7249999999999996</v>
      </c>
      <c r="G661" s="51">
        <v>1.5</v>
      </c>
      <c r="H661" s="64"/>
    </row>
    <row r="662" spans="1:14" ht="18" customHeight="1" x14ac:dyDescent="0.25">
      <c r="A662" s="175"/>
      <c r="B662" s="175"/>
      <c r="C662" s="185" t="s">
        <v>357</v>
      </c>
      <c r="D662" s="186"/>
      <c r="E662" s="38">
        <v>0</v>
      </c>
      <c r="F662" s="47">
        <f>75000/100000</f>
        <v>0.75</v>
      </c>
      <c r="G662" s="51">
        <v>0</v>
      </c>
      <c r="H662" s="64"/>
    </row>
    <row r="663" spans="1:14" ht="18" customHeight="1" x14ac:dyDescent="0.25">
      <c r="A663" s="175"/>
      <c r="B663" s="175"/>
      <c r="C663" s="185" t="s">
        <v>568</v>
      </c>
      <c r="D663" s="185"/>
      <c r="E663" s="50">
        <v>0</v>
      </c>
      <c r="F663" s="47">
        <v>0</v>
      </c>
      <c r="G663" s="51">
        <v>1.5</v>
      </c>
      <c r="H663" s="64"/>
    </row>
    <row r="664" spans="1:14" ht="18" customHeight="1" x14ac:dyDescent="0.25">
      <c r="A664" s="175"/>
      <c r="B664" s="175"/>
      <c r="C664" s="185" t="s">
        <v>200</v>
      </c>
      <c r="D664" s="186"/>
      <c r="E664" s="38">
        <v>0</v>
      </c>
      <c r="F664" s="47">
        <f>15225/100000</f>
        <v>0.15225</v>
      </c>
      <c r="G664" s="51">
        <v>0</v>
      </c>
      <c r="H664" s="64"/>
    </row>
    <row r="665" spans="1:14" ht="18" customHeight="1" x14ac:dyDescent="0.25">
      <c r="A665" s="175"/>
      <c r="B665" s="175"/>
      <c r="C665" s="185" t="s">
        <v>201</v>
      </c>
      <c r="D665" s="186"/>
      <c r="E665" s="38">
        <v>0</v>
      </c>
      <c r="F665" s="47">
        <f>150000/100000</f>
        <v>1.5</v>
      </c>
      <c r="G665" s="51">
        <v>0</v>
      </c>
      <c r="H665" s="64"/>
    </row>
    <row r="666" spans="1:14" ht="35.65" customHeight="1" x14ac:dyDescent="0.25">
      <c r="A666" s="175" t="s">
        <v>468</v>
      </c>
      <c r="B666" s="175"/>
      <c r="C666" s="239" t="s">
        <v>469</v>
      </c>
      <c r="D666" s="206"/>
      <c r="E666" s="57">
        <v>16.7</v>
      </c>
      <c r="F666" s="174">
        <v>0</v>
      </c>
      <c r="G666" s="60">
        <v>0</v>
      </c>
      <c r="H666" s="61"/>
    </row>
    <row r="667" spans="1:14" ht="18" customHeight="1" x14ac:dyDescent="0.25">
      <c r="A667" s="175" t="s">
        <v>461</v>
      </c>
      <c r="B667" s="175"/>
      <c r="C667" s="199" t="s">
        <v>523</v>
      </c>
      <c r="D667" s="199"/>
      <c r="E667" s="122">
        <v>2</v>
      </c>
      <c r="F667" s="123">
        <v>0</v>
      </c>
      <c r="G667" s="122">
        <v>2</v>
      </c>
      <c r="H667" s="91"/>
      <c r="I667" s="168"/>
      <c r="J667" s="168"/>
      <c r="K667" s="168"/>
      <c r="L667" s="44"/>
      <c r="M667" s="44"/>
      <c r="N667" s="168"/>
    </row>
    <row r="668" spans="1:14" ht="18" customHeight="1" x14ac:dyDescent="0.25">
      <c r="A668" s="175"/>
      <c r="B668" s="175"/>
      <c r="C668" s="204" t="s">
        <v>654</v>
      </c>
      <c r="D668" s="205"/>
      <c r="E668" s="122">
        <v>2</v>
      </c>
      <c r="F668" s="123">
        <v>0</v>
      </c>
      <c r="G668" s="123">
        <v>0</v>
      </c>
      <c r="H668" s="91"/>
      <c r="I668" s="168"/>
      <c r="J668" s="168"/>
      <c r="K668" s="168"/>
      <c r="L668" s="44"/>
      <c r="M668" s="44"/>
      <c r="N668" s="168"/>
    </row>
    <row r="669" spans="1:14" ht="18" customHeight="1" x14ac:dyDescent="0.25">
      <c r="A669" s="175"/>
      <c r="B669" s="175"/>
      <c r="C669" s="199" t="s">
        <v>529</v>
      </c>
      <c r="D669" s="199"/>
      <c r="E669" s="92">
        <v>2</v>
      </c>
      <c r="F669" s="124">
        <v>0</v>
      </c>
      <c r="G669" s="92">
        <v>2</v>
      </c>
      <c r="H669" s="91"/>
      <c r="I669" s="168"/>
      <c r="J669" s="168"/>
      <c r="K669" s="168"/>
      <c r="L669" s="44"/>
      <c r="M669" s="44"/>
      <c r="N669" s="168"/>
    </row>
    <row r="670" spans="1:14" ht="18" customHeight="1" x14ac:dyDescent="0.25">
      <c r="A670" s="175"/>
      <c r="B670" s="175"/>
      <c r="C670" s="185" t="s">
        <v>203</v>
      </c>
      <c r="D670" s="186"/>
      <c r="E670" s="38">
        <v>2</v>
      </c>
      <c r="F670" s="83">
        <f>200000/100000</f>
        <v>2</v>
      </c>
      <c r="G670" s="51">
        <v>0</v>
      </c>
      <c r="H670" s="66"/>
      <c r="I670" s="56"/>
      <c r="J670" s="56"/>
    </row>
    <row r="671" spans="1:14" ht="18" customHeight="1" x14ac:dyDescent="0.25">
      <c r="A671" s="175"/>
      <c r="B671" s="175"/>
      <c r="C671" s="185" t="s">
        <v>204</v>
      </c>
      <c r="D671" s="186"/>
      <c r="E671" s="38">
        <v>2</v>
      </c>
      <c r="F671" s="83">
        <f>200000/100000</f>
        <v>2</v>
      </c>
      <c r="G671" s="51">
        <v>0</v>
      </c>
      <c r="H671" s="64"/>
    </row>
    <row r="672" spans="1:14" ht="18" customHeight="1" x14ac:dyDescent="0.25">
      <c r="A672" s="175"/>
      <c r="B672" s="175"/>
      <c r="C672" s="199" t="s">
        <v>532</v>
      </c>
      <c r="D672" s="199"/>
      <c r="E672" s="92">
        <v>2</v>
      </c>
      <c r="F672" s="124">
        <v>0</v>
      </c>
      <c r="G672" s="92">
        <v>2</v>
      </c>
      <c r="H672" s="91"/>
      <c r="I672" s="168"/>
      <c r="J672" s="168"/>
      <c r="K672" s="168"/>
      <c r="L672" s="44"/>
      <c r="M672" s="44"/>
      <c r="N672" s="168"/>
    </row>
    <row r="673" spans="1:14" ht="21.75" customHeight="1" x14ac:dyDescent="0.25">
      <c r="A673" s="175"/>
      <c r="B673" s="175"/>
      <c r="C673" s="199" t="s">
        <v>533</v>
      </c>
      <c r="D673" s="199"/>
      <c r="E673" s="92">
        <v>2</v>
      </c>
      <c r="F673" s="124">
        <v>0</v>
      </c>
      <c r="G673" s="92">
        <v>2</v>
      </c>
      <c r="H673" s="125"/>
      <c r="I673" s="126"/>
      <c r="J673" s="126"/>
      <c r="K673" s="168"/>
      <c r="L673" s="44"/>
      <c r="M673" s="44"/>
      <c r="N673" s="168"/>
    </row>
    <row r="674" spans="1:14" ht="21.75" customHeight="1" x14ac:dyDescent="0.25">
      <c r="A674" s="175"/>
      <c r="B674" s="175"/>
      <c r="C674" s="204" t="s">
        <v>655</v>
      </c>
      <c r="D674" s="205"/>
      <c r="E674" s="92">
        <v>12</v>
      </c>
      <c r="F674" s="124">
        <v>0</v>
      </c>
      <c r="G674" s="124">
        <v>0</v>
      </c>
      <c r="H674" s="91">
        <f>E657+E658+E659+E660+E661+E662+E663+E664+E665+E666+E667+E668+E669+E670+E671+E672+E673+E674</f>
        <v>42.7</v>
      </c>
      <c r="I674" s="127">
        <f>F657+F658+F659+F660+F661+F662+F663+F664+F665+F666+F667+F668+F669+F670+F671+F672+F673+F674</f>
        <v>21.25225</v>
      </c>
      <c r="J674" s="127">
        <f>G657+G658+G659+G660+G661+G662+G663+G664+G665+G666+G667+G668+G669+G670+G671+G672+G673+G674</f>
        <v>17.98</v>
      </c>
      <c r="K674" s="168"/>
      <c r="L674" s="44"/>
      <c r="M674" s="44"/>
      <c r="N674" s="168"/>
    </row>
    <row r="675" spans="1:14" ht="33" customHeight="1" x14ac:dyDescent="0.25">
      <c r="A675" s="187" t="s">
        <v>678</v>
      </c>
      <c r="B675" s="187"/>
      <c r="C675" s="187"/>
      <c r="D675" s="187"/>
      <c r="E675" s="187"/>
      <c r="F675" s="187"/>
      <c r="G675" s="187"/>
      <c r="H675" s="166"/>
      <c r="I675" s="42"/>
      <c r="J675" s="42"/>
      <c r="K675" s="42"/>
      <c r="L675" s="42"/>
      <c r="M675" s="42"/>
      <c r="N675" s="42"/>
    </row>
    <row r="676" spans="1:14" x14ac:dyDescent="0.25">
      <c r="A676" s="187" t="s">
        <v>53</v>
      </c>
      <c r="B676" s="187"/>
      <c r="C676" s="187"/>
      <c r="D676" s="187"/>
      <c r="E676" s="187"/>
      <c r="F676" s="187"/>
      <c r="G676" s="187"/>
      <c r="H676" s="166"/>
      <c r="I676" s="42"/>
      <c r="J676" s="42"/>
      <c r="K676" s="42"/>
      <c r="L676" s="42"/>
    </row>
    <row r="677" spans="1:14" x14ac:dyDescent="0.25">
      <c r="A677" s="188" t="s">
        <v>54</v>
      </c>
      <c r="B677" s="188"/>
      <c r="C677" s="188"/>
      <c r="D677" s="188"/>
      <c r="E677" s="188"/>
      <c r="F677" s="188"/>
      <c r="G677" s="188"/>
      <c r="H677" s="168"/>
      <c r="I677" s="44"/>
      <c r="J677" s="44"/>
      <c r="K677" s="44"/>
      <c r="L677" s="44"/>
    </row>
    <row r="678" spans="1:14" x14ac:dyDescent="0.25">
      <c r="A678" s="44"/>
      <c r="B678" s="44"/>
      <c r="C678" s="44"/>
      <c r="D678" s="44"/>
      <c r="E678" s="44"/>
      <c r="G678" s="44"/>
      <c r="H678" s="44"/>
      <c r="I678" s="168"/>
      <c r="J678" s="168"/>
      <c r="K678" s="168"/>
      <c r="L678" s="168"/>
    </row>
    <row r="679" spans="1:14" x14ac:dyDescent="0.25">
      <c r="A679" s="189" t="s">
        <v>244</v>
      </c>
      <c r="B679" s="178"/>
      <c r="C679" s="190" t="s">
        <v>72</v>
      </c>
      <c r="D679" s="190"/>
      <c r="E679" s="190"/>
      <c r="F679" s="190"/>
      <c r="G679" s="191"/>
      <c r="H679" s="173"/>
      <c r="I679" s="168"/>
      <c r="J679" s="168"/>
      <c r="K679" s="168"/>
      <c r="L679" s="44"/>
      <c r="M679" s="44"/>
      <c r="N679" s="168"/>
    </row>
    <row r="680" spans="1:14" x14ac:dyDescent="0.25">
      <c r="A680" s="176" t="s">
        <v>70</v>
      </c>
      <c r="B680" s="177"/>
      <c r="C680" s="176" t="s">
        <v>51</v>
      </c>
      <c r="D680" s="184"/>
      <c r="E680" s="178" t="s">
        <v>99</v>
      </c>
      <c r="F680" s="178"/>
      <c r="G680" s="179"/>
      <c r="H680" s="166"/>
      <c r="I680" s="168"/>
      <c r="J680" s="168"/>
      <c r="K680" s="168"/>
      <c r="L680" s="44"/>
      <c r="M680" s="44"/>
      <c r="N680" s="168"/>
    </row>
    <row r="681" spans="1:14" x14ac:dyDescent="0.25">
      <c r="A681" s="180"/>
      <c r="B681" s="181"/>
      <c r="C681" s="180"/>
      <c r="D681" s="181"/>
      <c r="E681" s="164" t="s">
        <v>597</v>
      </c>
      <c r="F681" s="165" t="s">
        <v>57</v>
      </c>
      <c r="G681" s="165" t="s">
        <v>55</v>
      </c>
      <c r="H681" s="166"/>
      <c r="I681" s="168"/>
      <c r="J681" s="168"/>
      <c r="K681" s="168"/>
      <c r="L681" s="44"/>
      <c r="M681" s="44"/>
      <c r="N681" s="168"/>
    </row>
    <row r="682" spans="1:14" ht="21" customHeight="1" x14ac:dyDescent="0.25">
      <c r="A682" s="175" t="s">
        <v>461</v>
      </c>
      <c r="B682" s="175"/>
      <c r="C682" s="199" t="s">
        <v>538</v>
      </c>
      <c r="D682" s="199"/>
      <c r="E682" s="122">
        <v>2</v>
      </c>
      <c r="F682" s="122">
        <v>0</v>
      </c>
      <c r="G682" s="122">
        <v>2</v>
      </c>
      <c r="H682" s="91"/>
      <c r="I682" s="127"/>
      <c r="J682" s="127"/>
      <c r="K682" s="168"/>
      <c r="L682" s="44"/>
      <c r="M682" s="44"/>
      <c r="N682" s="168"/>
    </row>
    <row r="683" spans="1:14" ht="16.149999999999999" customHeight="1" x14ac:dyDescent="0.25">
      <c r="A683" s="175"/>
      <c r="B683" s="175"/>
      <c r="C683" s="199" t="s">
        <v>539</v>
      </c>
      <c r="D683" s="199"/>
      <c r="E683" s="122">
        <v>2</v>
      </c>
      <c r="F683" s="122">
        <v>0</v>
      </c>
      <c r="G683" s="122">
        <v>2</v>
      </c>
      <c r="H683" s="91"/>
      <c r="I683" s="168"/>
      <c r="J683" s="168"/>
      <c r="K683" s="168"/>
      <c r="L683" s="44"/>
      <c r="M683" s="44"/>
      <c r="N683" s="168"/>
    </row>
    <row r="684" spans="1:14" ht="19.149999999999999" customHeight="1" x14ac:dyDescent="0.25">
      <c r="A684" s="175"/>
      <c r="B684" s="175"/>
      <c r="C684" s="204" t="s">
        <v>656</v>
      </c>
      <c r="D684" s="205"/>
      <c r="E684" s="122">
        <v>12</v>
      </c>
      <c r="F684" s="122">
        <v>0</v>
      </c>
      <c r="G684" s="122">
        <v>0</v>
      </c>
      <c r="H684" s="91"/>
      <c r="I684" s="168"/>
      <c r="J684" s="168"/>
      <c r="K684" s="168"/>
      <c r="L684" s="44"/>
      <c r="M684" s="44"/>
      <c r="N684" s="168"/>
    </row>
    <row r="685" spans="1:14" ht="15.4" customHeight="1" x14ac:dyDescent="0.25">
      <c r="A685" s="175"/>
      <c r="B685" s="175"/>
      <c r="C685" s="204" t="s">
        <v>524</v>
      </c>
      <c r="D685" s="205"/>
      <c r="E685" s="122">
        <v>0</v>
      </c>
      <c r="F685" s="122">
        <v>0</v>
      </c>
      <c r="G685" s="122">
        <v>12</v>
      </c>
      <c r="H685" s="91"/>
      <c r="I685" s="168"/>
      <c r="J685" s="168"/>
      <c r="K685" s="168"/>
      <c r="L685" s="44"/>
      <c r="M685" s="44"/>
      <c r="N685" s="168"/>
    </row>
    <row r="686" spans="1:14" ht="18" customHeight="1" x14ac:dyDescent="0.25">
      <c r="A686" s="175"/>
      <c r="B686" s="175"/>
      <c r="C686" s="199" t="s">
        <v>525</v>
      </c>
      <c r="D686" s="199"/>
      <c r="E686" s="92">
        <v>0</v>
      </c>
      <c r="F686" s="124">
        <v>0</v>
      </c>
      <c r="G686" s="92">
        <v>12</v>
      </c>
      <c r="H686" s="91"/>
      <c r="I686" s="168"/>
      <c r="J686" s="168"/>
      <c r="K686" s="168"/>
      <c r="L686" s="44"/>
      <c r="M686" s="44"/>
      <c r="N686" s="168"/>
    </row>
    <row r="687" spans="1:14" ht="18" customHeight="1" x14ac:dyDescent="0.25">
      <c r="A687" s="175"/>
      <c r="B687" s="175"/>
      <c r="C687" s="199" t="s">
        <v>526</v>
      </c>
      <c r="D687" s="199"/>
      <c r="E687" s="92">
        <v>0</v>
      </c>
      <c r="F687" s="124">
        <v>0</v>
      </c>
      <c r="G687" s="92">
        <v>12</v>
      </c>
      <c r="H687" s="91"/>
      <c r="I687" s="168"/>
      <c r="J687" s="168"/>
      <c r="K687" s="168"/>
      <c r="L687" s="44"/>
      <c r="M687" s="44"/>
      <c r="N687" s="168"/>
    </row>
    <row r="688" spans="1:14" ht="18" customHeight="1" x14ac:dyDescent="0.25">
      <c r="A688" s="175"/>
      <c r="B688" s="175"/>
      <c r="C688" s="199" t="s">
        <v>527</v>
      </c>
      <c r="D688" s="199"/>
      <c r="E688" s="92">
        <v>0</v>
      </c>
      <c r="F688" s="124">
        <v>0</v>
      </c>
      <c r="G688" s="92">
        <v>12</v>
      </c>
      <c r="H688" s="91"/>
      <c r="I688" s="168"/>
      <c r="J688" s="168"/>
      <c r="K688" s="168"/>
      <c r="L688" s="44"/>
      <c r="M688" s="44"/>
      <c r="N688" s="168"/>
    </row>
    <row r="689" spans="1:14" ht="18" customHeight="1" x14ac:dyDescent="0.25">
      <c r="A689" s="175"/>
      <c r="B689" s="175"/>
      <c r="C689" s="199" t="s">
        <v>528</v>
      </c>
      <c r="D689" s="199"/>
      <c r="E689" s="92">
        <v>0</v>
      </c>
      <c r="F689" s="124">
        <v>0</v>
      </c>
      <c r="G689" s="92">
        <v>12</v>
      </c>
      <c r="H689" s="91"/>
      <c r="I689" s="168"/>
      <c r="J689" s="168"/>
      <c r="K689" s="168"/>
      <c r="L689" s="44"/>
      <c r="M689" s="44"/>
      <c r="N689" s="168"/>
    </row>
    <row r="690" spans="1:14" ht="18" customHeight="1" x14ac:dyDescent="0.25">
      <c r="A690" s="175"/>
      <c r="B690" s="175"/>
      <c r="C690" s="199" t="s">
        <v>530</v>
      </c>
      <c r="D690" s="199"/>
      <c r="E690" s="92">
        <v>0</v>
      </c>
      <c r="F690" s="124">
        <v>0</v>
      </c>
      <c r="G690" s="92">
        <v>12</v>
      </c>
      <c r="H690" s="91"/>
      <c r="I690" s="168"/>
      <c r="J690" s="168"/>
      <c r="K690" s="168"/>
      <c r="L690" s="44"/>
      <c r="M690" s="44"/>
      <c r="N690" s="168"/>
    </row>
    <row r="691" spans="1:14" ht="18" customHeight="1" x14ac:dyDescent="0.25">
      <c r="A691" s="175"/>
      <c r="B691" s="175"/>
      <c r="C691" s="199" t="s">
        <v>531</v>
      </c>
      <c r="D691" s="199"/>
      <c r="E691" s="92">
        <v>0</v>
      </c>
      <c r="F691" s="124">
        <v>0</v>
      </c>
      <c r="G691" s="92">
        <v>12</v>
      </c>
      <c r="H691" s="91"/>
      <c r="I691" s="168"/>
      <c r="J691" s="168"/>
      <c r="K691" s="168"/>
      <c r="L691" s="44"/>
      <c r="M691" s="44"/>
      <c r="N691" s="168"/>
    </row>
    <row r="692" spans="1:14" ht="17.649999999999999" customHeight="1" x14ac:dyDescent="0.25">
      <c r="A692" s="175"/>
      <c r="B692" s="175"/>
      <c r="C692" s="199" t="s">
        <v>534</v>
      </c>
      <c r="D692" s="199"/>
      <c r="E692" s="92">
        <v>0</v>
      </c>
      <c r="F692" s="92">
        <v>0</v>
      </c>
      <c r="G692" s="92">
        <v>12</v>
      </c>
      <c r="H692" s="91"/>
      <c r="I692" s="168"/>
      <c r="J692" s="168"/>
      <c r="K692" s="168"/>
      <c r="L692" s="44"/>
      <c r="M692" s="44"/>
      <c r="N692" s="168"/>
    </row>
    <row r="693" spans="1:14" ht="16.899999999999999" customHeight="1" x14ac:dyDescent="0.25">
      <c r="A693" s="175"/>
      <c r="B693" s="175"/>
      <c r="C693" s="199" t="s">
        <v>535</v>
      </c>
      <c r="D693" s="199"/>
      <c r="E693" s="92">
        <v>0</v>
      </c>
      <c r="F693" s="92">
        <v>0</v>
      </c>
      <c r="G693" s="92">
        <v>12</v>
      </c>
      <c r="H693" s="91"/>
      <c r="I693" s="168"/>
      <c r="J693" s="168"/>
      <c r="K693" s="168"/>
      <c r="L693" s="44"/>
      <c r="M693" s="44"/>
      <c r="N693" s="168"/>
    </row>
    <row r="694" spans="1:14" ht="21" customHeight="1" x14ac:dyDescent="0.25">
      <c r="A694" s="175"/>
      <c r="B694" s="175"/>
      <c r="C694" s="199" t="s">
        <v>536</v>
      </c>
      <c r="D694" s="199"/>
      <c r="E694" s="92">
        <v>0</v>
      </c>
      <c r="F694" s="92">
        <v>0</v>
      </c>
      <c r="G694" s="92">
        <v>12</v>
      </c>
      <c r="H694" s="91"/>
      <c r="I694" s="168"/>
      <c r="J694" s="168"/>
      <c r="K694" s="168"/>
      <c r="L694" s="44"/>
      <c r="M694" s="44"/>
      <c r="N694" s="168"/>
    </row>
    <row r="695" spans="1:14" ht="21" customHeight="1" x14ac:dyDescent="0.25">
      <c r="A695" s="175"/>
      <c r="B695" s="175"/>
      <c r="C695" s="199" t="s">
        <v>537</v>
      </c>
      <c r="D695" s="199"/>
      <c r="E695" s="92">
        <v>0</v>
      </c>
      <c r="F695" s="92">
        <v>0</v>
      </c>
      <c r="G695" s="92">
        <v>12</v>
      </c>
      <c r="H695" s="91"/>
      <c r="I695" s="168"/>
      <c r="J695" s="168"/>
      <c r="K695" s="168"/>
      <c r="L695" s="44"/>
      <c r="M695" s="44"/>
      <c r="N695" s="168"/>
    </row>
    <row r="696" spans="1:14" ht="18.75" customHeight="1" x14ac:dyDescent="0.25">
      <c r="A696" s="175"/>
      <c r="B696" s="175"/>
      <c r="C696" s="185" t="s">
        <v>356</v>
      </c>
      <c r="D696" s="186"/>
      <c r="E696" s="38">
        <v>0</v>
      </c>
      <c r="F696" s="93">
        <f>1200000/100000</f>
        <v>12</v>
      </c>
      <c r="G696" s="92">
        <v>0</v>
      </c>
      <c r="H696" s="66"/>
    </row>
    <row r="697" spans="1:14" ht="16.5" customHeight="1" x14ac:dyDescent="0.25">
      <c r="A697" s="175"/>
      <c r="B697" s="175"/>
      <c r="C697" s="185" t="s">
        <v>358</v>
      </c>
      <c r="D697" s="186"/>
      <c r="E697" s="38">
        <v>0</v>
      </c>
      <c r="F697" s="83">
        <f>1200000/100000</f>
        <v>12</v>
      </c>
      <c r="G697" s="92">
        <v>0</v>
      </c>
      <c r="H697" s="64"/>
    </row>
    <row r="698" spans="1:14" ht="19.5" customHeight="1" x14ac:dyDescent="0.25">
      <c r="A698" s="175"/>
      <c r="B698" s="175"/>
      <c r="C698" s="185" t="s">
        <v>359</v>
      </c>
      <c r="D698" s="186"/>
      <c r="E698" s="38">
        <v>0</v>
      </c>
      <c r="F698" s="83">
        <f>1200000/100000</f>
        <v>12</v>
      </c>
      <c r="G698" s="92">
        <v>0</v>
      </c>
      <c r="H698" s="64"/>
      <c r="I698" s="39"/>
      <c r="J698" s="39"/>
    </row>
    <row r="699" spans="1:14" ht="18" customHeight="1" x14ac:dyDescent="0.25">
      <c r="A699" s="175"/>
      <c r="B699" s="175"/>
      <c r="C699" s="185" t="s">
        <v>360</v>
      </c>
      <c r="D699" s="186"/>
      <c r="E699" s="38">
        <v>0</v>
      </c>
      <c r="F699" s="83">
        <f t="shared" ref="F699:F712" si="0">1200000/100000</f>
        <v>12</v>
      </c>
      <c r="G699" s="92">
        <v>0</v>
      </c>
      <c r="H699" s="64"/>
    </row>
    <row r="700" spans="1:14" ht="18" customHeight="1" x14ac:dyDescent="0.25">
      <c r="A700" s="175"/>
      <c r="B700" s="175"/>
      <c r="C700" s="185" t="s">
        <v>361</v>
      </c>
      <c r="D700" s="186"/>
      <c r="E700" s="38">
        <v>0</v>
      </c>
      <c r="F700" s="83">
        <f t="shared" si="0"/>
        <v>12</v>
      </c>
      <c r="G700" s="92">
        <v>0</v>
      </c>
      <c r="H700" s="64"/>
    </row>
    <row r="701" spans="1:14" ht="18" customHeight="1" x14ac:dyDescent="0.25">
      <c r="A701" s="175"/>
      <c r="B701" s="175"/>
      <c r="C701" s="185" t="s">
        <v>362</v>
      </c>
      <c r="D701" s="186"/>
      <c r="E701" s="38">
        <v>0</v>
      </c>
      <c r="F701" s="83">
        <f t="shared" si="0"/>
        <v>12</v>
      </c>
      <c r="G701" s="92">
        <v>0</v>
      </c>
      <c r="H701" s="64">
        <f>E682+E683+E684+E685+E686+E687+E688+E689+E690+E691+E692+E693+E694+E695+E696+E697+E698+E699+E700+E701</f>
        <v>16</v>
      </c>
      <c r="I701" s="39">
        <f>F682+F683+F684+F686+F687+F688+F689+F690+F691+F692+F693+F694+F695+F696+F697+F698+F699+F700+F701</f>
        <v>72</v>
      </c>
      <c r="J701" s="39">
        <f>G682+G683+G684+G685+G686+G687+G688+G689+G690+G691+G692+G693+G694+G695+G696+G697+G698+G699+G700+G701</f>
        <v>136</v>
      </c>
    </row>
    <row r="702" spans="1:14" ht="27.75" customHeight="1" x14ac:dyDescent="0.25">
      <c r="A702" s="187" t="s">
        <v>678</v>
      </c>
      <c r="B702" s="187"/>
      <c r="C702" s="187"/>
      <c r="D702" s="187"/>
      <c r="E702" s="187"/>
      <c r="F702" s="187"/>
      <c r="G702" s="187"/>
      <c r="H702" s="166"/>
      <c r="I702" s="42"/>
      <c r="J702" s="42"/>
      <c r="K702" s="42"/>
      <c r="L702" s="42"/>
      <c r="M702" s="42"/>
      <c r="N702" s="42"/>
    </row>
    <row r="703" spans="1:14" x14ac:dyDescent="0.25">
      <c r="A703" s="187" t="s">
        <v>53</v>
      </c>
      <c r="B703" s="187"/>
      <c r="C703" s="187"/>
      <c r="D703" s="187"/>
      <c r="E703" s="187"/>
      <c r="F703" s="187"/>
      <c r="G703" s="187"/>
      <c r="H703" s="166"/>
      <c r="I703" s="42"/>
      <c r="J703" s="42"/>
      <c r="K703" s="42"/>
      <c r="L703" s="42"/>
    </row>
    <row r="704" spans="1:14" x14ac:dyDescent="0.25">
      <c r="A704" s="188" t="s">
        <v>54</v>
      </c>
      <c r="B704" s="188"/>
      <c r="C704" s="188"/>
      <c r="D704" s="188"/>
      <c r="E704" s="188"/>
      <c r="F704" s="188"/>
      <c r="G704" s="188"/>
      <c r="H704" s="168"/>
      <c r="I704" s="44"/>
      <c r="J704" s="44"/>
      <c r="K704" s="44"/>
      <c r="L704" s="44"/>
    </row>
    <row r="705" spans="1:14" x14ac:dyDescent="0.25">
      <c r="A705" s="44"/>
      <c r="B705" s="44"/>
      <c r="C705" s="44"/>
      <c r="D705" s="44"/>
      <c r="E705" s="44"/>
      <c r="G705" s="44"/>
      <c r="H705" s="44"/>
      <c r="I705" s="168"/>
      <c r="J705" s="168"/>
      <c r="K705" s="168"/>
      <c r="L705" s="168"/>
    </row>
    <row r="706" spans="1:14" x14ac:dyDescent="0.25">
      <c r="A706" s="189" t="s">
        <v>244</v>
      </c>
      <c r="B706" s="178"/>
      <c r="C706" s="190" t="s">
        <v>72</v>
      </c>
      <c r="D706" s="190"/>
      <c r="E706" s="190"/>
      <c r="F706" s="190"/>
      <c r="G706" s="191"/>
      <c r="H706" s="173"/>
      <c r="I706" s="168"/>
      <c r="J706" s="168"/>
      <c r="K706" s="168"/>
      <c r="L706" s="44"/>
      <c r="M706" s="44"/>
      <c r="N706" s="168"/>
    </row>
    <row r="707" spans="1:14" x14ac:dyDescent="0.25">
      <c r="A707" s="176" t="s">
        <v>70</v>
      </c>
      <c r="B707" s="177"/>
      <c r="C707" s="176" t="s">
        <v>51</v>
      </c>
      <c r="D707" s="184"/>
      <c r="E707" s="178" t="s">
        <v>99</v>
      </c>
      <c r="F707" s="178"/>
      <c r="G707" s="179"/>
      <c r="H707" s="166"/>
      <c r="I707" s="168"/>
      <c r="J707" s="168"/>
      <c r="K707" s="168"/>
      <c r="L707" s="44"/>
      <c r="M707" s="44"/>
      <c r="N707" s="168"/>
    </row>
    <row r="708" spans="1:14" x14ac:dyDescent="0.25">
      <c r="A708" s="180"/>
      <c r="B708" s="181"/>
      <c r="C708" s="180"/>
      <c r="D708" s="181"/>
      <c r="E708" s="164" t="s">
        <v>597</v>
      </c>
      <c r="F708" s="165" t="s">
        <v>57</v>
      </c>
      <c r="G708" s="165" t="s">
        <v>55</v>
      </c>
      <c r="H708" s="166"/>
      <c r="I708" s="168"/>
      <c r="J708" s="168"/>
      <c r="K708" s="168"/>
      <c r="L708" s="44"/>
      <c r="M708" s="44"/>
      <c r="N708" s="168"/>
    </row>
    <row r="709" spans="1:14" ht="18" customHeight="1" x14ac:dyDescent="0.25">
      <c r="A709" s="175" t="s">
        <v>202</v>
      </c>
      <c r="B709" s="175"/>
      <c r="C709" s="185" t="s">
        <v>363</v>
      </c>
      <c r="D709" s="186"/>
      <c r="E709" s="38">
        <v>0</v>
      </c>
      <c r="F709" s="83">
        <f t="shared" si="0"/>
        <v>12</v>
      </c>
      <c r="G709" s="92">
        <v>0</v>
      </c>
      <c r="H709" s="64"/>
    </row>
    <row r="710" spans="1:14" ht="18" customHeight="1" x14ac:dyDescent="0.25">
      <c r="A710" s="175"/>
      <c r="B710" s="175"/>
      <c r="C710" s="185" t="s">
        <v>364</v>
      </c>
      <c r="D710" s="186"/>
      <c r="E710" s="38">
        <v>0</v>
      </c>
      <c r="F710" s="83">
        <f t="shared" si="0"/>
        <v>12</v>
      </c>
      <c r="G710" s="128">
        <v>0</v>
      </c>
      <c r="H710" s="64"/>
      <c r="I710" s="39"/>
      <c r="J710" s="39"/>
    </row>
    <row r="711" spans="1:14" ht="18" customHeight="1" x14ac:dyDescent="0.25">
      <c r="A711" s="175"/>
      <c r="B711" s="175"/>
      <c r="C711" s="185" t="s">
        <v>365</v>
      </c>
      <c r="D711" s="186"/>
      <c r="E711" s="38">
        <v>0</v>
      </c>
      <c r="F711" s="83">
        <f t="shared" si="0"/>
        <v>12</v>
      </c>
      <c r="G711" s="92">
        <v>0</v>
      </c>
      <c r="H711" s="64"/>
    </row>
    <row r="712" spans="1:14" ht="18" customHeight="1" x14ac:dyDescent="0.25">
      <c r="A712" s="175"/>
      <c r="B712" s="175"/>
      <c r="C712" s="185" t="s">
        <v>366</v>
      </c>
      <c r="D712" s="186"/>
      <c r="E712" s="38">
        <v>0</v>
      </c>
      <c r="F712" s="83">
        <f t="shared" si="0"/>
        <v>12</v>
      </c>
      <c r="G712" s="92">
        <v>0</v>
      </c>
      <c r="H712" s="64"/>
      <c r="I712" s="52"/>
    </row>
    <row r="713" spans="1:14" ht="18" customHeight="1" x14ac:dyDescent="0.25">
      <c r="A713" s="175"/>
      <c r="B713" s="175"/>
      <c r="C713" s="185" t="s">
        <v>367</v>
      </c>
      <c r="D713" s="186"/>
      <c r="E713" s="38">
        <v>0</v>
      </c>
      <c r="F713" s="83">
        <f t="shared" ref="F713:F721" si="1">1200000/100000</f>
        <v>12</v>
      </c>
      <c r="G713" s="51">
        <v>0</v>
      </c>
      <c r="H713" s="64"/>
    </row>
    <row r="714" spans="1:14" ht="18" customHeight="1" x14ac:dyDescent="0.25">
      <c r="A714" s="175"/>
      <c r="B714" s="175"/>
      <c r="C714" s="185" t="s">
        <v>368</v>
      </c>
      <c r="D714" s="186"/>
      <c r="E714" s="38">
        <v>0</v>
      </c>
      <c r="F714" s="83">
        <f t="shared" si="1"/>
        <v>12</v>
      </c>
      <c r="G714" s="51">
        <v>0</v>
      </c>
      <c r="H714" s="64"/>
    </row>
    <row r="715" spans="1:14" ht="18" customHeight="1" x14ac:dyDescent="0.25">
      <c r="A715" s="175"/>
      <c r="B715" s="175"/>
      <c r="C715" s="185" t="s">
        <v>369</v>
      </c>
      <c r="D715" s="186"/>
      <c r="E715" s="38">
        <v>0</v>
      </c>
      <c r="F715" s="83">
        <f t="shared" si="1"/>
        <v>12</v>
      </c>
      <c r="G715" s="51">
        <v>0</v>
      </c>
      <c r="H715" s="64"/>
    </row>
    <row r="716" spans="1:14" ht="18" customHeight="1" x14ac:dyDescent="0.25">
      <c r="A716" s="175"/>
      <c r="B716" s="175"/>
      <c r="C716" s="185" t="s">
        <v>370</v>
      </c>
      <c r="D716" s="186"/>
      <c r="E716" s="38">
        <v>0</v>
      </c>
      <c r="F716" s="83">
        <f t="shared" si="1"/>
        <v>12</v>
      </c>
      <c r="G716" s="51">
        <v>0</v>
      </c>
      <c r="H716" s="64"/>
    </row>
    <row r="717" spans="1:14" ht="18" customHeight="1" x14ac:dyDescent="0.25">
      <c r="A717" s="175"/>
      <c r="B717" s="175"/>
      <c r="C717" s="185" t="s">
        <v>371</v>
      </c>
      <c r="D717" s="186"/>
      <c r="E717" s="38">
        <v>0</v>
      </c>
      <c r="F717" s="83">
        <f t="shared" si="1"/>
        <v>12</v>
      </c>
      <c r="G717" s="51">
        <v>0</v>
      </c>
      <c r="H717" s="64"/>
    </row>
    <row r="718" spans="1:14" ht="18" customHeight="1" x14ac:dyDescent="0.25">
      <c r="A718" s="175"/>
      <c r="B718" s="175"/>
      <c r="C718" s="185" t="s">
        <v>372</v>
      </c>
      <c r="D718" s="186"/>
      <c r="E718" s="38">
        <v>0</v>
      </c>
      <c r="F718" s="83">
        <f t="shared" si="1"/>
        <v>12</v>
      </c>
      <c r="G718" s="51">
        <v>0</v>
      </c>
      <c r="H718" s="64"/>
    </row>
    <row r="719" spans="1:14" ht="18" customHeight="1" x14ac:dyDescent="0.25">
      <c r="A719" s="175"/>
      <c r="B719" s="175"/>
      <c r="C719" s="185" t="s">
        <v>373</v>
      </c>
      <c r="D719" s="186"/>
      <c r="E719" s="38">
        <v>0</v>
      </c>
      <c r="F719" s="83">
        <f t="shared" si="1"/>
        <v>12</v>
      </c>
      <c r="G719" s="51">
        <v>0</v>
      </c>
      <c r="H719" s="64"/>
    </row>
    <row r="720" spans="1:14" ht="18" customHeight="1" x14ac:dyDescent="0.25">
      <c r="A720" s="175"/>
      <c r="B720" s="175"/>
      <c r="C720" s="185" t="s">
        <v>653</v>
      </c>
      <c r="D720" s="186"/>
      <c r="E720" s="38">
        <v>0</v>
      </c>
      <c r="F720" s="83">
        <f t="shared" si="1"/>
        <v>12</v>
      </c>
      <c r="G720" s="51">
        <v>0</v>
      </c>
      <c r="H720" s="64"/>
    </row>
    <row r="721" spans="1:14" ht="18" customHeight="1" x14ac:dyDescent="0.25">
      <c r="A721" s="175"/>
      <c r="B721" s="175"/>
      <c r="C721" s="185" t="s">
        <v>374</v>
      </c>
      <c r="D721" s="186"/>
      <c r="E721" s="38">
        <v>0</v>
      </c>
      <c r="F721" s="83">
        <f t="shared" si="1"/>
        <v>12</v>
      </c>
      <c r="G721" s="51">
        <v>0</v>
      </c>
      <c r="H721" s="64"/>
    </row>
    <row r="722" spans="1:14" ht="18" customHeight="1" x14ac:dyDescent="0.25">
      <c r="A722" s="175"/>
      <c r="B722" s="175"/>
      <c r="C722" s="185" t="s">
        <v>375</v>
      </c>
      <c r="D722" s="186"/>
      <c r="E722" s="38">
        <v>0</v>
      </c>
      <c r="F722" s="83">
        <f>1200000/100000</f>
        <v>12</v>
      </c>
      <c r="G722" s="51">
        <v>0</v>
      </c>
      <c r="H722" s="64"/>
    </row>
    <row r="723" spans="1:14" ht="18" customHeight="1" x14ac:dyDescent="0.25">
      <c r="A723" s="175"/>
      <c r="B723" s="175"/>
      <c r="C723" s="185" t="s">
        <v>376</v>
      </c>
      <c r="D723" s="186"/>
      <c r="E723" s="38">
        <v>0</v>
      </c>
      <c r="F723" s="83">
        <f>1200000/100000</f>
        <v>12</v>
      </c>
      <c r="G723" s="51">
        <v>0</v>
      </c>
      <c r="H723" s="64"/>
    </row>
    <row r="724" spans="1:14" ht="20.25" customHeight="1" x14ac:dyDescent="0.25">
      <c r="A724" s="175"/>
      <c r="B724" s="175"/>
      <c r="C724" s="185" t="s">
        <v>377</v>
      </c>
      <c r="D724" s="186"/>
      <c r="E724" s="38">
        <v>0</v>
      </c>
      <c r="F724" s="83">
        <f>1200000/100000</f>
        <v>12</v>
      </c>
      <c r="G724" s="51">
        <v>0</v>
      </c>
      <c r="H724" s="64"/>
      <c r="I724" s="39"/>
      <c r="J724" s="39"/>
    </row>
    <row r="725" spans="1:14" ht="20.25" customHeight="1" x14ac:dyDescent="0.25">
      <c r="A725" s="175"/>
      <c r="B725" s="175"/>
      <c r="C725" s="185" t="s">
        <v>378</v>
      </c>
      <c r="D725" s="186"/>
      <c r="E725" s="38">
        <v>0</v>
      </c>
      <c r="F725" s="47">
        <f t="shared" ref="F725:F752" si="2">1200000/100000</f>
        <v>12</v>
      </c>
      <c r="G725" s="51">
        <v>0</v>
      </c>
      <c r="H725" s="64"/>
    </row>
    <row r="726" spans="1:14" ht="18" customHeight="1" x14ac:dyDescent="0.25">
      <c r="A726" s="175"/>
      <c r="B726" s="175"/>
      <c r="C726" s="185" t="s">
        <v>379</v>
      </c>
      <c r="D726" s="186"/>
      <c r="E726" s="38">
        <v>0</v>
      </c>
      <c r="F726" s="47">
        <f t="shared" si="2"/>
        <v>12</v>
      </c>
      <c r="G726" s="51">
        <v>0</v>
      </c>
      <c r="H726" s="64"/>
    </row>
    <row r="727" spans="1:14" ht="18" customHeight="1" x14ac:dyDescent="0.25">
      <c r="A727" s="175"/>
      <c r="B727" s="175"/>
      <c r="C727" s="185" t="s">
        <v>380</v>
      </c>
      <c r="D727" s="186"/>
      <c r="E727" s="38">
        <v>0</v>
      </c>
      <c r="F727" s="47">
        <f t="shared" si="2"/>
        <v>12</v>
      </c>
      <c r="G727" s="51">
        <v>0</v>
      </c>
      <c r="H727" s="64"/>
    </row>
    <row r="728" spans="1:14" ht="18" customHeight="1" x14ac:dyDescent="0.25">
      <c r="A728" s="175"/>
      <c r="B728" s="175"/>
      <c r="C728" s="185" t="s">
        <v>381</v>
      </c>
      <c r="D728" s="186"/>
      <c r="E728" s="38">
        <v>0</v>
      </c>
      <c r="F728" s="47">
        <f t="shared" si="2"/>
        <v>12</v>
      </c>
      <c r="G728" s="51">
        <v>0</v>
      </c>
      <c r="H728" s="64">
        <f>E709+E710+E711+E712+E713+E714+E715+E716+E717+E718+E719+E720+E721+E722+E723+E724+E725+E726+E727+E728</f>
        <v>0</v>
      </c>
      <c r="I728" s="75">
        <f>F709+F710+F711+F712+F713+F714+F715+F716+F717+F718+F719+F720+F721+F722+F723+F724+F725+F726+F727+F728</f>
        <v>240</v>
      </c>
      <c r="J728" s="39">
        <f>G709+G710+G711+G712+G713+G714+G715+G716+G717+G718+G719+G720+G721+G722+G723+G724+G725+G726+G727+G728</f>
        <v>0</v>
      </c>
    </row>
    <row r="729" spans="1:14" ht="31.5" customHeight="1" x14ac:dyDescent="0.25">
      <c r="A729" s="187" t="s">
        <v>678</v>
      </c>
      <c r="B729" s="187"/>
      <c r="C729" s="187"/>
      <c r="D729" s="187"/>
      <c r="E729" s="187"/>
      <c r="F729" s="187"/>
      <c r="G729" s="187"/>
      <c r="H729" s="166"/>
      <c r="I729" s="42"/>
      <c r="J729" s="42"/>
      <c r="K729" s="42"/>
      <c r="L729" s="42"/>
      <c r="M729" s="42"/>
      <c r="N729" s="42"/>
    </row>
    <row r="730" spans="1:14" x14ac:dyDescent="0.25">
      <c r="A730" s="187" t="s">
        <v>53</v>
      </c>
      <c r="B730" s="187"/>
      <c r="C730" s="187"/>
      <c r="D730" s="187"/>
      <c r="E730" s="187"/>
      <c r="F730" s="187"/>
      <c r="G730" s="187"/>
      <c r="H730" s="166"/>
      <c r="I730" s="42"/>
      <c r="J730" s="42"/>
      <c r="K730" s="42"/>
      <c r="L730" s="42"/>
    </row>
    <row r="731" spans="1:14" x14ac:dyDescent="0.25">
      <c r="A731" s="188" t="s">
        <v>54</v>
      </c>
      <c r="B731" s="188"/>
      <c r="C731" s="188"/>
      <c r="D731" s="188"/>
      <c r="E731" s="188"/>
      <c r="F731" s="188"/>
      <c r="G731" s="188"/>
      <c r="H731" s="168"/>
      <c r="I731" s="44"/>
      <c r="J731" s="44"/>
      <c r="K731" s="44"/>
      <c r="L731" s="44"/>
    </row>
    <row r="732" spans="1:14" x14ac:dyDescent="0.25">
      <c r="A732" s="44"/>
      <c r="B732" s="44"/>
      <c r="C732" s="44"/>
      <c r="D732" s="44"/>
      <c r="E732" s="44"/>
      <c r="G732" s="44"/>
      <c r="H732" s="44"/>
      <c r="I732" s="168"/>
      <c r="J732" s="168"/>
      <c r="K732" s="168"/>
      <c r="L732" s="168"/>
    </row>
    <row r="733" spans="1:14" x14ac:dyDescent="0.25">
      <c r="A733" s="189" t="s">
        <v>244</v>
      </c>
      <c r="B733" s="178"/>
      <c r="C733" s="190" t="s">
        <v>72</v>
      </c>
      <c r="D733" s="190"/>
      <c r="E733" s="190"/>
      <c r="F733" s="190"/>
      <c r="G733" s="191"/>
      <c r="H733" s="173"/>
      <c r="I733" s="168"/>
      <c r="J733" s="168"/>
      <c r="K733" s="168"/>
      <c r="L733" s="44"/>
      <c r="M733" s="44"/>
      <c r="N733" s="168"/>
    </row>
    <row r="734" spans="1:14" x14ac:dyDescent="0.25">
      <c r="A734" s="176" t="s">
        <v>70</v>
      </c>
      <c r="B734" s="177"/>
      <c r="C734" s="176" t="s">
        <v>51</v>
      </c>
      <c r="D734" s="184"/>
      <c r="E734" s="178" t="s">
        <v>99</v>
      </c>
      <c r="F734" s="178"/>
      <c r="G734" s="179"/>
      <c r="H734" s="166"/>
      <c r="I734" s="168"/>
      <c r="J734" s="168"/>
      <c r="K734" s="168"/>
      <c r="L734" s="44"/>
      <c r="M734" s="44"/>
      <c r="N734" s="168"/>
    </row>
    <row r="735" spans="1:14" x14ac:dyDescent="0.25">
      <c r="A735" s="180"/>
      <c r="B735" s="181"/>
      <c r="C735" s="180"/>
      <c r="D735" s="181"/>
      <c r="E735" s="164" t="s">
        <v>597</v>
      </c>
      <c r="F735" s="165" t="s">
        <v>57</v>
      </c>
      <c r="G735" s="165" t="s">
        <v>55</v>
      </c>
      <c r="H735" s="166"/>
      <c r="I735" s="168"/>
      <c r="J735" s="168"/>
      <c r="K735" s="168"/>
      <c r="L735" s="44"/>
      <c r="M735" s="44"/>
      <c r="N735" s="168"/>
    </row>
    <row r="736" spans="1:14" ht="18" customHeight="1" x14ac:dyDescent="0.25">
      <c r="A736" s="175" t="s">
        <v>202</v>
      </c>
      <c r="B736" s="175"/>
      <c r="C736" s="185" t="s">
        <v>382</v>
      </c>
      <c r="D736" s="186"/>
      <c r="E736" s="38">
        <v>0</v>
      </c>
      <c r="F736" s="47">
        <f t="shared" si="2"/>
        <v>12</v>
      </c>
      <c r="G736" s="51">
        <v>0</v>
      </c>
      <c r="H736" s="64"/>
      <c r="I736" s="39"/>
      <c r="J736" s="39"/>
    </row>
    <row r="737" spans="1:10" ht="18" customHeight="1" x14ac:dyDescent="0.25">
      <c r="A737" s="175"/>
      <c r="B737" s="175"/>
      <c r="C737" s="185" t="s">
        <v>383</v>
      </c>
      <c r="D737" s="186"/>
      <c r="E737" s="38">
        <v>0</v>
      </c>
      <c r="F737" s="47">
        <f t="shared" si="2"/>
        <v>12</v>
      </c>
      <c r="G737" s="51">
        <v>0</v>
      </c>
      <c r="H737" s="66"/>
      <c r="I737" s="118"/>
      <c r="J737" s="87"/>
    </row>
    <row r="738" spans="1:10" ht="18" customHeight="1" x14ac:dyDescent="0.25">
      <c r="A738" s="175"/>
      <c r="B738" s="175"/>
      <c r="C738" s="185" t="s">
        <v>384</v>
      </c>
      <c r="D738" s="186"/>
      <c r="E738" s="38">
        <v>0</v>
      </c>
      <c r="F738" s="47">
        <f t="shared" si="2"/>
        <v>12</v>
      </c>
      <c r="G738" s="51">
        <v>0</v>
      </c>
      <c r="H738" s="64"/>
    </row>
    <row r="739" spans="1:10" ht="18" customHeight="1" x14ac:dyDescent="0.25">
      <c r="A739" s="175"/>
      <c r="B739" s="175"/>
      <c r="C739" s="185" t="s">
        <v>385</v>
      </c>
      <c r="D739" s="186"/>
      <c r="E739" s="38">
        <v>0</v>
      </c>
      <c r="F739" s="47">
        <f t="shared" si="2"/>
        <v>12</v>
      </c>
      <c r="G739" s="51">
        <v>0</v>
      </c>
      <c r="H739" s="64"/>
      <c r="I739" s="129"/>
    </row>
    <row r="740" spans="1:10" ht="18" customHeight="1" x14ac:dyDescent="0.25">
      <c r="A740" s="175"/>
      <c r="B740" s="175"/>
      <c r="C740" s="185" t="s">
        <v>386</v>
      </c>
      <c r="D740" s="186"/>
      <c r="E740" s="38">
        <v>0</v>
      </c>
      <c r="F740" s="47">
        <f t="shared" si="2"/>
        <v>12</v>
      </c>
      <c r="G740" s="51">
        <v>0</v>
      </c>
      <c r="H740" s="64"/>
    </row>
    <row r="741" spans="1:10" ht="18" customHeight="1" x14ac:dyDescent="0.25">
      <c r="A741" s="175"/>
      <c r="B741" s="175"/>
      <c r="C741" s="185" t="s">
        <v>387</v>
      </c>
      <c r="D741" s="186"/>
      <c r="E741" s="38">
        <v>0</v>
      </c>
      <c r="F741" s="47">
        <f t="shared" si="2"/>
        <v>12</v>
      </c>
      <c r="G741" s="51">
        <v>0</v>
      </c>
      <c r="H741" s="64"/>
    </row>
    <row r="742" spans="1:10" ht="18" customHeight="1" x14ac:dyDescent="0.25">
      <c r="A742" s="175"/>
      <c r="B742" s="175"/>
      <c r="C742" s="185" t="s">
        <v>388</v>
      </c>
      <c r="D742" s="186"/>
      <c r="E742" s="38">
        <v>0</v>
      </c>
      <c r="F742" s="47">
        <f t="shared" si="2"/>
        <v>12</v>
      </c>
      <c r="G742" s="51">
        <v>0</v>
      </c>
      <c r="H742" s="64"/>
    </row>
    <row r="743" spans="1:10" ht="18" customHeight="1" x14ac:dyDescent="0.25">
      <c r="A743" s="175"/>
      <c r="B743" s="175"/>
      <c r="C743" s="185" t="s">
        <v>389</v>
      </c>
      <c r="D743" s="186"/>
      <c r="E743" s="38">
        <v>0</v>
      </c>
      <c r="F743" s="47">
        <f t="shared" si="2"/>
        <v>12</v>
      </c>
      <c r="G743" s="51">
        <v>0</v>
      </c>
      <c r="H743" s="64"/>
    </row>
    <row r="744" spans="1:10" ht="18" customHeight="1" x14ac:dyDescent="0.25">
      <c r="A744" s="175"/>
      <c r="B744" s="175"/>
      <c r="C744" s="185" t="s">
        <v>390</v>
      </c>
      <c r="D744" s="186"/>
      <c r="E744" s="38">
        <v>0</v>
      </c>
      <c r="F744" s="47">
        <f t="shared" si="2"/>
        <v>12</v>
      </c>
      <c r="G744" s="51">
        <v>0</v>
      </c>
      <c r="H744" s="64"/>
    </row>
    <row r="745" spans="1:10" ht="18" customHeight="1" x14ac:dyDescent="0.25">
      <c r="A745" s="175"/>
      <c r="B745" s="175"/>
      <c r="C745" s="185" t="s">
        <v>391</v>
      </c>
      <c r="D745" s="186"/>
      <c r="E745" s="38">
        <v>0</v>
      </c>
      <c r="F745" s="47">
        <f t="shared" si="2"/>
        <v>12</v>
      </c>
      <c r="G745" s="51">
        <v>0</v>
      </c>
      <c r="H745" s="64"/>
    </row>
    <row r="746" spans="1:10" ht="18" customHeight="1" x14ac:dyDescent="0.25">
      <c r="A746" s="175"/>
      <c r="B746" s="175"/>
      <c r="C746" s="185" t="s">
        <v>392</v>
      </c>
      <c r="D746" s="186"/>
      <c r="E746" s="38">
        <v>0</v>
      </c>
      <c r="F746" s="47">
        <f t="shared" si="2"/>
        <v>12</v>
      </c>
      <c r="G746" s="51">
        <v>0</v>
      </c>
      <c r="H746" s="64"/>
    </row>
    <row r="747" spans="1:10" ht="18" customHeight="1" x14ac:dyDescent="0.25">
      <c r="A747" s="175"/>
      <c r="B747" s="175"/>
      <c r="C747" s="185" t="s">
        <v>393</v>
      </c>
      <c r="D747" s="186"/>
      <c r="E747" s="38">
        <v>0</v>
      </c>
      <c r="F747" s="47">
        <f t="shared" si="2"/>
        <v>12</v>
      </c>
      <c r="G747" s="51">
        <v>0</v>
      </c>
      <c r="H747" s="64"/>
    </row>
    <row r="748" spans="1:10" ht="18" customHeight="1" x14ac:dyDescent="0.25">
      <c r="A748" s="175"/>
      <c r="B748" s="175"/>
      <c r="C748" s="185" t="s">
        <v>394</v>
      </c>
      <c r="D748" s="186"/>
      <c r="E748" s="38">
        <v>0</v>
      </c>
      <c r="F748" s="47">
        <f t="shared" si="2"/>
        <v>12</v>
      </c>
      <c r="G748" s="51">
        <v>0</v>
      </c>
      <c r="H748" s="64"/>
    </row>
    <row r="749" spans="1:10" ht="18" customHeight="1" x14ac:dyDescent="0.25">
      <c r="A749" s="175"/>
      <c r="B749" s="175"/>
      <c r="C749" s="185" t="s">
        <v>395</v>
      </c>
      <c r="D749" s="186"/>
      <c r="E749" s="38">
        <v>0</v>
      </c>
      <c r="F749" s="47">
        <f t="shared" si="2"/>
        <v>12</v>
      </c>
      <c r="G749" s="51">
        <v>0</v>
      </c>
      <c r="H749" s="64"/>
      <c r="I749" s="129"/>
    </row>
    <row r="750" spans="1:10" ht="18" customHeight="1" x14ac:dyDescent="0.25">
      <c r="A750" s="175"/>
      <c r="B750" s="175"/>
      <c r="C750" s="185" t="s">
        <v>396</v>
      </c>
      <c r="D750" s="186"/>
      <c r="E750" s="38">
        <v>0</v>
      </c>
      <c r="F750" s="47">
        <f t="shared" si="2"/>
        <v>12</v>
      </c>
      <c r="G750" s="51">
        <v>0</v>
      </c>
      <c r="H750" s="64"/>
    </row>
    <row r="751" spans="1:10" ht="18" customHeight="1" x14ac:dyDescent="0.25">
      <c r="A751" s="175"/>
      <c r="B751" s="175"/>
      <c r="C751" s="185" t="s">
        <v>397</v>
      </c>
      <c r="D751" s="186"/>
      <c r="E751" s="38">
        <v>0</v>
      </c>
      <c r="F751" s="47">
        <f t="shared" si="2"/>
        <v>12</v>
      </c>
      <c r="G751" s="51">
        <v>0</v>
      </c>
      <c r="H751" s="64"/>
    </row>
    <row r="752" spans="1:10" ht="18" customHeight="1" x14ac:dyDescent="0.25">
      <c r="A752" s="175"/>
      <c r="B752" s="175"/>
      <c r="C752" s="185" t="s">
        <v>398</v>
      </c>
      <c r="D752" s="186"/>
      <c r="E752" s="38">
        <v>0</v>
      </c>
      <c r="F752" s="47">
        <f t="shared" si="2"/>
        <v>12</v>
      </c>
      <c r="G752" s="51">
        <v>0</v>
      </c>
      <c r="H752" s="64"/>
      <c r="I752" s="39"/>
      <c r="J752" s="39"/>
    </row>
    <row r="753" spans="1:14" ht="18" customHeight="1" x14ac:dyDescent="0.25">
      <c r="A753" s="175"/>
      <c r="B753" s="175"/>
      <c r="C753" s="185" t="s">
        <v>399</v>
      </c>
      <c r="D753" s="186"/>
      <c r="E753" s="38">
        <v>0</v>
      </c>
      <c r="F753" s="47">
        <f>1200000/100000</f>
        <v>12</v>
      </c>
      <c r="G753" s="51">
        <v>0</v>
      </c>
      <c r="H753" s="64"/>
    </row>
    <row r="754" spans="1:14" ht="18" customHeight="1" x14ac:dyDescent="0.25">
      <c r="A754" s="175"/>
      <c r="B754" s="175"/>
      <c r="C754" s="185" t="s">
        <v>400</v>
      </c>
      <c r="D754" s="186"/>
      <c r="E754" s="38">
        <v>0</v>
      </c>
      <c r="F754" s="47">
        <f>1200000/100000</f>
        <v>12</v>
      </c>
      <c r="G754" s="51">
        <v>0</v>
      </c>
      <c r="H754" s="64"/>
    </row>
    <row r="755" spans="1:14" ht="24" customHeight="1" x14ac:dyDescent="0.25">
      <c r="A755" s="175"/>
      <c r="B755" s="175"/>
      <c r="C755" s="185" t="s">
        <v>401</v>
      </c>
      <c r="D755" s="186"/>
      <c r="E755" s="38">
        <v>0</v>
      </c>
      <c r="F755" s="47">
        <f>1200000/100000</f>
        <v>12</v>
      </c>
      <c r="G755" s="51">
        <v>0</v>
      </c>
      <c r="H755" s="64">
        <f>E736+E737+E738+E739+E740+E741+E742+E743+E744+E745+E746+E747+E748+E749+E750+E751+E752+E753+E754+E755</f>
        <v>0</v>
      </c>
      <c r="I755" s="58">
        <f>F736+F737+F738+F739+F740+F741+F742+F743+F744+F745+F746+F747+F748+F749+F750+F751+F752+F753+F754+F755</f>
        <v>240</v>
      </c>
      <c r="J755" s="39">
        <f>G736+G737+G738+G739+G740+G741+G742+G743+G744+G745+G746+G747+G748+G749+G750+G751+G752+G753+G754+G755</f>
        <v>0</v>
      </c>
    </row>
    <row r="756" spans="1:14" ht="30.4" customHeight="1" x14ac:dyDescent="0.25">
      <c r="A756" s="187" t="s">
        <v>678</v>
      </c>
      <c r="B756" s="187"/>
      <c r="C756" s="187"/>
      <c r="D756" s="187"/>
      <c r="E756" s="187"/>
      <c r="F756" s="187"/>
      <c r="G756" s="187"/>
      <c r="H756" s="166"/>
      <c r="I756" s="42"/>
      <c r="J756" s="42"/>
      <c r="K756" s="42"/>
      <c r="L756" s="42"/>
      <c r="M756" s="42"/>
      <c r="N756" s="42"/>
    </row>
    <row r="757" spans="1:14" x14ac:dyDescent="0.25">
      <c r="A757" s="187" t="s">
        <v>53</v>
      </c>
      <c r="B757" s="187"/>
      <c r="C757" s="187"/>
      <c r="D757" s="187"/>
      <c r="E757" s="187"/>
      <c r="F757" s="187"/>
      <c r="G757" s="187"/>
      <c r="H757" s="166"/>
      <c r="I757" s="42"/>
      <c r="J757" s="42"/>
      <c r="K757" s="42"/>
      <c r="L757" s="42"/>
    </row>
    <row r="758" spans="1:14" x14ac:dyDescent="0.25">
      <c r="A758" s="188" t="s">
        <v>54</v>
      </c>
      <c r="B758" s="188"/>
      <c r="C758" s="188"/>
      <c r="D758" s="188"/>
      <c r="E758" s="188"/>
      <c r="F758" s="188"/>
      <c r="G758" s="188"/>
      <c r="H758" s="168"/>
      <c r="I758" s="44"/>
      <c r="J758" s="44"/>
      <c r="K758" s="44"/>
      <c r="L758" s="44"/>
    </row>
    <row r="759" spans="1:14" x14ac:dyDescent="0.25">
      <c r="A759" s="44"/>
      <c r="B759" s="44"/>
      <c r="C759" s="44"/>
      <c r="D759" s="44"/>
      <c r="E759" s="44"/>
      <c r="G759" s="44"/>
      <c r="H759" s="44"/>
      <c r="I759" s="168"/>
      <c r="J759" s="168"/>
      <c r="K759" s="168"/>
      <c r="L759" s="168"/>
    </row>
    <row r="760" spans="1:14" x14ac:dyDescent="0.25">
      <c r="A760" s="189" t="s">
        <v>244</v>
      </c>
      <c r="B760" s="178"/>
      <c r="C760" s="190" t="s">
        <v>72</v>
      </c>
      <c r="D760" s="190"/>
      <c r="E760" s="190"/>
      <c r="F760" s="190"/>
      <c r="G760" s="191"/>
      <c r="H760" s="173"/>
      <c r="I760" s="168"/>
      <c r="J760" s="168"/>
      <c r="K760" s="168"/>
      <c r="L760" s="44"/>
      <c r="M760" s="44"/>
      <c r="N760" s="168"/>
    </row>
    <row r="761" spans="1:14" x14ac:dyDescent="0.25">
      <c r="A761" s="176" t="s">
        <v>70</v>
      </c>
      <c r="B761" s="177"/>
      <c r="C761" s="176" t="s">
        <v>51</v>
      </c>
      <c r="D761" s="184"/>
      <c r="E761" s="178" t="s">
        <v>99</v>
      </c>
      <c r="F761" s="178"/>
      <c r="G761" s="179"/>
      <c r="H761" s="166"/>
      <c r="I761" s="168"/>
      <c r="J761" s="168"/>
      <c r="K761" s="168"/>
      <c r="L761" s="44"/>
      <c r="M761" s="44"/>
      <c r="N761" s="168"/>
    </row>
    <row r="762" spans="1:14" x14ac:dyDescent="0.25">
      <c r="A762" s="180"/>
      <c r="B762" s="181"/>
      <c r="C762" s="180"/>
      <c r="D762" s="181"/>
      <c r="E762" s="164" t="s">
        <v>597</v>
      </c>
      <c r="F762" s="165" t="s">
        <v>57</v>
      </c>
      <c r="G762" s="165" t="s">
        <v>55</v>
      </c>
      <c r="H762" s="166"/>
      <c r="I762" s="168"/>
      <c r="J762" s="168"/>
      <c r="K762" s="168"/>
      <c r="L762" s="44"/>
      <c r="M762" s="44"/>
      <c r="N762" s="168"/>
    </row>
    <row r="763" spans="1:14" ht="22.5" customHeight="1" x14ac:dyDescent="0.25">
      <c r="A763" s="196" t="s">
        <v>403</v>
      </c>
      <c r="B763" s="186"/>
      <c r="C763" s="185" t="s">
        <v>404</v>
      </c>
      <c r="D763" s="186"/>
      <c r="E763" s="170">
        <v>669.46</v>
      </c>
      <c r="F763" s="174">
        <f>128800000/100000</f>
        <v>1288</v>
      </c>
      <c r="G763" s="117">
        <v>200</v>
      </c>
      <c r="H763" s="64"/>
    </row>
    <row r="764" spans="1:14" ht="21.75" customHeight="1" x14ac:dyDescent="0.25">
      <c r="A764" s="200" t="s">
        <v>405</v>
      </c>
      <c r="B764" s="201"/>
      <c r="C764" s="185" t="s">
        <v>406</v>
      </c>
      <c r="D764" s="186"/>
      <c r="E764" s="38">
        <v>0</v>
      </c>
      <c r="F764" s="47">
        <f>685500/100000</f>
        <v>6.8550000000000004</v>
      </c>
      <c r="G764" s="51">
        <v>234.92</v>
      </c>
      <c r="H764" s="64"/>
    </row>
    <row r="765" spans="1:14" ht="22.15" customHeight="1" x14ac:dyDescent="0.25">
      <c r="A765" s="207"/>
      <c r="B765" s="208"/>
      <c r="C765" s="185" t="s">
        <v>407</v>
      </c>
      <c r="D765" s="186"/>
      <c r="E765" s="167">
        <v>34.28</v>
      </c>
      <c r="F765" s="47">
        <f>1599500/100000</f>
        <v>15.994999999999999</v>
      </c>
      <c r="G765" s="51">
        <v>0</v>
      </c>
      <c r="H765" s="64"/>
    </row>
    <row r="766" spans="1:14" ht="18" customHeight="1" x14ac:dyDescent="0.25">
      <c r="A766" s="207"/>
      <c r="B766" s="208"/>
      <c r="C766" s="182" t="s">
        <v>657</v>
      </c>
      <c r="D766" s="183"/>
      <c r="E766" s="38">
        <v>219</v>
      </c>
      <c r="F766" s="47">
        <v>0</v>
      </c>
      <c r="G766" s="51">
        <v>0</v>
      </c>
      <c r="H766" s="64"/>
    </row>
    <row r="767" spans="1:14" ht="25.5" customHeight="1" x14ac:dyDescent="0.25">
      <c r="A767" s="202"/>
      <c r="B767" s="203"/>
      <c r="C767" s="185" t="s">
        <v>213</v>
      </c>
      <c r="D767" s="186"/>
      <c r="E767" s="57">
        <v>0</v>
      </c>
      <c r="F767" s="174">
        <f>1599500/100000</f>
        <v>15.994999999999999</v>
      </c>
      <c r="G767" s="117">
        <v>0</v>
      </c>
      <c r="H767" s="66"/>
    </row>
    <row r="768" spans="1:14" ht="30.75" customHeight="1" x14ac:dyDescent="0.25">
      <c r="A768" s="182" t="s">
        <v>495</v>
      </c>
      <c r="B768" s="183"/>
      <c r="C768" s="182" t="s">
        <v>496</v>
      </c>
      <c r="D768" s="183"/>
      <c r="E768" s="79">
        <v>200</v>
      </c>
      <c r="F768" s="174">
        <v>0</v>
      </c>
      <c r="G768" s="130">
        <v>823.4</v>
      </c>
      <c r="H768" s="131"/>
    </row>
    <row r="769" spans="1:14" ht="34.5" customHeight="1" x14ac:dyDescent="0.25">
      <c r="A769" s="193" t="s">
        <v>464</v>
      </c>
      <c r="B769" s="194"/>
      <c r="C769" s="175" t="s">
        <v>224</v>
      </c>
      <c r="D769" s="211"/>
      <c r="E769" s="170">
        <v>38.04</v>
      </c>
      <c r="F769" s="174">
        <f>4001000/100000</f>
        <v>40.01</v>
      </c>
      <c r="G769" s="117">
        <v>0</v>
      </c>
      <c r="H769" s="66">
        <f>1904000+2588836000</f>
        <v>2590740000</v>
      </c>
      <c r="I769" s="58"/>
    </row>
    <row r="770" spans="1:14" ht="27.75" customHeight="1" x14ac:dyDescent="0.25">
      <c r="A770" s="196" t="s">
        <v>414</v>
      </c>
      <c r="B770" s="186"/>
      <c r="C770" s="185" t="s">
        <v>225</v>
      </c>
      <c r="D770" s="186"/>
      <c r="E770" s="59">
        <v>25907.4</v>
      </c>
      <c r="F770" s="132">
        <f>1122622000/100000</f>
        <v>11226.22</v>
      </c>
      <c r="G770" s="60">
        <v>20663.830000000002</v>
      </c>
      <c r="H770" s="61">
        <f>19.04+25888.36</f>
        <v>25907.4</v>
      </c>
      <c r="I770" s="118"/>
      <c r="J770" s="56"/>
    </row>
    <row r="771" spans="1:14" ht="19.899999999999999" customHeight="1" x14ac:dyDescent="0.25">
      <c r="A771" s="133" t="s">
        <v>658</v>
      </c>
      <c r="B771" s="134"/>
      <c r="C771" s="224" t="s">
        <v>257</v>
      </c>
      <c r="D771" s="225"/>
      <c r="E771" s="135">
        <v>2.48</v>
      </c>
      <c r="F771" s="92">
        <v>0</v>
      </c>
      <c r="G771" s="92">
        <v>0</v>
      </c>
      <c r="H771" s="166"/>
      <c r="I771" s="168"/>
      <c r="J771" s="168"/>
      <c r="K771" s="168"/>
      <c r="L771" s="44"/>
      <c r="M771" s="44"/>
      <c r="N771" s="168"/>
    </row>
    <row r="772" spans="1:14" ht="18" customHeight="1" x14ac:dyDescent="0.25">
      <c r="A772" s="136"/>
      <c r="B772" s="137"/>
      <c r="C772" s="204" t="s">
        <v>108</v>
      </c>
      <c r="D772" s="205"/>
      <c r="E772" s="135">
        <v>5.5</v>
      </c>
      <c r="F772" s="92">
        <v>0</v>
      </c>
      <c r="G772" s="92">
        <v>0</v>
      </c>
      <c r="H772" s="166"/>
      <c r="I772" s="168"/>
      <c r="J772" s="168"/>
      <c r="K772" s="168"/>
      <c r="L772" s="44"/>
      <c r="M772" s="44"/>
      <c r="N772" s="168"/>
    </row>
    <row r="773" spans="1:14" ht="26.25" customHeight="1" x14ac:dyDescent="0.25">
      <c r="A773" s="213" t="s">
        <v>659</v>
      </c>
      <c r="B773" s="223"/>
      <c r="C773" s="182" t="s">
        <v>660</v>
      </c>
      <c r="D773" s="183"/>
      <c r="E773" s="99">
        <v>44.97</v>
      </c>
      <c r="F773" s="174">
        <v>0</v>
      </c>
      <c r="G773" s="174">
        <v>0</v>
      </c>
      <c r="H773" s="55"/>
    </row>
    <row r="774" spans="1:14" ht="19.899999999999999" customHeight="1" x14ac:dyDescent="0.25">
      <c r="A774" s="217" t="s">
        <v>227</v>
      </c>
      <c r="B774" s="218"/>
      <c r="C774" s="185" t="s">
        <v>228</v>
      </c>
      <c r="D774" s="186"/>
      <c r="E774" s="170">
        <v>19.760000000000002</v>
      </c>
      <c r="F774" s="93">
        <f>1975620/100000</f>
        <v>19.7562</v>
      </c>
      <c r="G774" s="117">
        <v>0</v>
      </c>
      <c r="H774" s="66"/>
      <c r="I774" s="58"/>
      <c r="J774" s="58"/>
    </row>
    <row r="775" spans="1:14" ht="20.25" customHeight="1" x14ac:dyDescent="0.25">
      <c r="A775" s="219"/>
      <c r="B775" s="220"/>
      <c r="C775" s="182" t="s">
        <v>661</v>
      </c>
      <c r="D775" s="183"/>
      <c r="E775" s="57">
        <v>1</v>
      </c>
      <c r="F775" s="93">
        <v>0</v>
      </c>
      <c r="G775" s="117">
        <v>0</v>
      </c>
      <c r="H775" s="66"/>
      <c r="I775" s="58"/>
      <c r="J775" s="58"/>
    </row>
    <row r="776" spans="1:14" ht="36.75" customHeight="1" x14ac:dyDescent="0.25">
      <c r="A776" s="196" t="s">
        <v>465</v>
      </c>
      <c r="B776" s="186"/>
      <c r="C776" s="213" t="s">
        <v>231</v>
      </c>
      <c r="D776" s="214"/>
      <c r="E776" s="171">
        <v>76.040000000000006</v>
      </c>
      <c r="F776" s="93">
        <f>2770000/100000</f>
        <v>27.7</v>
      </c>
      <c r="G776" s="117">
        <v>0</v>
      </c>
      <c r="H776" s="66"/>
    </row>
    <row r="777" spans="1:14" ht="23.25" customHeight="1" x14ac:dyDescent="0.25">
      <c r="A777" s="224" t="s">
        <v>662</v>
      </c>
      <c r="B777" s="225"/>
      <c r="C777" s="204" t="s">
        <v>148</v>
      </c>
      <c r="D777" s="205"/>
      <c r="E777" s="135">
        <v>2.2999999999999998</v>
      </c>
      <c r="F777" s="92">
        <v>0</v>
      </c>
      <c r="G777" s="92">
        <v>0</v>
      </c>
      <c r="H777" s="138">
        <f>E763+E764+E765+E766+E767+E768+E769+E770+E771+E772+E773+E774+E775+E776+E777</f>
        <v>27220.23</v>
      </c>
      <c r="I777" s="139">
        <f>F763+F764+F765+F766+F767+F768+F769+F770+F771+F772+F773+F774+F775+F776+F777</f>
        <v>12640.531199999999</v>
      </c>
      <c r="J777" s="127">
        <f>G763+G764+G765+G766+G767+G768+G769+G770+G771+G772+G773+G774+G775+G776+G777</f>
        <v>21922.15</v>
      </c>
      <c r="K777" s="168"/>
      <c r="L777" s="44"/>
      <c r="M777" s="44"/>
      <c r="N777" s="168"/>
    </row>
    <row r="778" spans="1:14" ht="29.65" customHeight="1" x14ac:dyDescent="0.25">
      <c r="A778" s="187" t="s">
        <v>678</v>
      </c>
      <c r="B778" s="187"/>
      <c r="C778" s="187"/>
      <c r="D778" s="187"/>
      <c r="E778" s="187"/>
      <c r="F778" s="187"/>
      <c r="G778" s="187"/>
      <c r="H778" s="166"/>
      <c r="I778" s="42"/>
      <c r="J778" s="42"/>
      <c r="K778" s="42"/>
      <c r="L778" s="42"/>
      <c r="M778" s="42"/>
      <c r="N778" s="42"/>
    </row>
    <row r="779" spans="1:14" x14ac:dyDescent="0.25">
      <c r="A779" s="187" t="s">
        <v>53</v>
      </c>
      <c r="B779" s="187"/>
      <c r="C779" s="187"/>
      <c r="D779" s="187"/>
      <c r="E779" s="187"/>
      <c r="F779" s="187"/>
      <c r="G779" s="187"/>
      <c r="H779" s="166"/>
      <c r="I779" s="42"/>
      <c r="J779" s="42"/>
      <c r="K779" s="42"/>
      <c r="L779" s="42"/>
    </row>
    <row r="780" spans="1:14" x14ac:dyDescent="0.25">
      <c r="A780" s="188" t="s">
        <v>54</v>
      </c>
      <c r="B780" s="188"/>
      <c r="C780" s="188"/>
      <c r="D780" s="188"/>
      <c r="E780" s="188"/>
      <c r="F780" s="188"/>
      <c r="G780" s="188"/>
      <c r="H780" s="168"/>
      <c r="I780" s="44"/>
      <c r="J780" s="44"/>
      <c r="K780" s="44"/>
      <c r="L780" s="44"/>
    </row>
    <row r="781" spans="1:14" x14ac:dyDescent="0.25">
      <c r="A781" s="44"/>
      <c r="B781" s="44"/>
      <c r="C781" s="44"/>
      <c r="D781" s="44"/>
      <c r="E781" s="44"/>
      <c r="G781" s="44"/>
      <c r="H781" s="44"/>
      <c r="I781" s="168"/>
      <c r="J781" s="168"/>
      <c r="K781" s="168"/>
      <c r="L781" s="168"/>
    </row>
    <row r="782" spans="1:14" x14ac:dyDescent="0.25">
      <c r="A782" s="189" t="s">
        <v>244</v>
      </c>
      <c r="B782" s="178"/>
      <c r="C782" s="190" t="s">
        <v>72</v>
      </c>
      <c r="D782" s="190"/>
      <c r="E782" s="190"/>
      <c r="F782" s="190"/>
      <c r="G782" s="191"/>
      <c r="H782" s="173"/>
      <c r="I782" s="168"/>
      <c r="J782" s="168"/>
      <c r="K782" s="168"/>
      <c r="L782" s="44"/>
      <c r="M782" s="44"/>
      <c r="N782" s="168"/>
    </row>
    <row r="783" spans="1:14" x14ac:dyDescent="0.25">
      <c r="A783" s="176" t="s">
        <v>70</v>
      </c>
      <c r="B783" s="177"/>
      <c r="C783" s="176" t="s">
        <v>51</v>
      </c>
      <c r="D783" s="184"/>
      <c r="E783" s="178" t="s">
        <v>99</v>
      </c>
      <c r="F783" s="178"/>
      <c r="G783" s="179"/>
      <c r="H783" s="166"/>
      <c r="I783" s="168"/>
      <c r="J783" s="168"/>
      <c r="K783" s="168"/>
      <c r="L783" s="44"/>
      <c r="M783" s="44"/>
      <c r="N783" s="168"/>
    </row>
    <row r="784" spans="1:14" x14ac:dyDescent="0.25">
      <c r="A784" s="180"/>
      <c r="B784" s="181"/>
      <c r="C784" s="180"/>
      <c r="D784" s="181"/>
      <c r="E784" s="164" t="s">
        <v>597</v>
      </c>
      <c r="F784" s="165" t="s">
        <v>57</v>
      </c>
      <c r="G784" s="165" t="s">
        <v>55</v>
      </c>
      <c r="H784" s="166"/>
      <c r="I784" s="168"/>
      <c r="J784" s="168"/>
      <c r="K784" s="168"/>
      <c r="L784" s="44"/>
      <c r="M784" s="44"/>
      <c r="N784" s="168"/>
    </row>
    <row r="785" spans="1:14" ht="18" customHeight="1" x14ac:dyDescent="0.25">
      <c r="A785" s="224" t="s">
        <v>663</v>
      </c>
      <c r="B785" s="225"/>
      <c r="C785" s="204" t="s">
        <v>239</v>
      </c>
      <c r="D785" s="205"/>
      <c r="E785" s="135">
        <v>37</v>
      </c>
      <c r="F785" s="92">
        <v>0</v>
      </c>
      <c r="G785" s="92">
        <v>0</v>
      </c>
      <c r="H785" s="166"/>
      <c r="I785" s="168"/>
      <c r="J785" s="168"/>
      <c r="K785" s="168"/>
      <c r="L785" s="44"/>
      <c r="M785" s="44"/>
      <c r="N785" s="168"/>
    </row>
    <row r="786" spans="1:14" ht="43.5" customHeight="1" x14ac:dyDescent="0.25">
      <c r="A786" s="221" t="s">
        <v>666</v>
      </c>
      <c r="B786" s="222"/>
      <c r="C786" s="213" t="s">
        <v>664</v>
      </c>
      <c r="D786" s="223"/>
      <c r="E786" s="59">
        <v>2177.8000000000002</v>
      </c>
      <c r="F786" s="174">
        <v>0</v>
      </c>
      <c r="G786" s="117">
        <v>0</v>
      </c>
      <c r="H786" s="66"/>
    </row>
    <row r="787" spans="1:14" ht="24.75" customHeight="1" x14ac:dyDescent="0.25">
      <c r="A787" s="175" t="s">
        <v>233</v>
      </c>
      <c r="B787" s="175"/>
      <c r="C787" s="185" t="s">
        <v>418</v>
      </c>
      <c r="D787" s="186"/>
      <c r="E787" s="57">
        <v>0</v>
      </c>
      <c r="F787" s="93">
        <f>30000/100000</f>
        <v>0.3</v>
      </c>
      <c r="G787" s="117">
        <v>0</v>
      </c>
      <c r="H787" s="66"/>
    </row>
    <row r="788" spans="1:14" ht="24" customHeight="1" x14ac:dyDescent="0.25">
      <c r="A788" s="175"/>
      <c r="B788" s="175"/>
      <c r="C788" s="185" t="s">
        <v>234</v>
      </c>
      <c r="D788" s="186"/>
      <c r="E788" s="170">
        <v>39.19</v>
      </c>
      <c r="F788" s="93">
        <f>8732287/100000</f>
        <v>87.322869999999995</v>
      </c>
      <c r="G788" s="117">
        <v>0</v>
      </c>
      <c r="H788" s="66"/>
      <c r="I788" s="118"/>
      <c r="J788" s="87"/>
    </row>
    <row r="789" spans="1:14" ht="23.25" customHeight="1" x14ac:dyDescent="0.25">
      <c r="A789" s="175" t="s">
        <v>235</v>
      </c>
      <c r="B789" s="175"/>
      <c r="C789" s="185" t="s">
        <v>246</v>
      </c>
      <c r="D789" s="186"/>
      <c r="E789" s="170">
        <v>19.62</v>
      </c>
      <c r="F789" s="174">
        <f>1337250/100000</f>
        <v>13.3725</v>
      </c>
      <c r="G789" s="117">
        <v>8.1199999999999992</v>
      </c>
      <c r="H789" s="64"/>
      <c r="I789" s="39"/>
      <c r="J789" s="39"/>
    </row>
    <row r="790" spans="1:14" ht="28.5" customHeight="1" x14ac:dyDescent="0.25">
      <c r="A790" s="212" t="s">
        <v>238</v>
      </c>
      <c r="B790" s="211"/>
      <c r="C790" s="175" t="s">
        <v>239</v>
      </c>
      <c r="D790" s="211"/>
      <c r="E790" s="59">
        <v>3072.05</v>
      </c>
      <c r="F790" s="93">
        <f>434146036/100000</f>
        <v>4341.46036</v>
      </c>
      <c r="G790" s="60">
        <v>4058.07</v>
      </c>
      <c r="H790" s="49"/>
    </row>
    <row r="791" spans="1:14" ht="32.25" customHeight="1" x14ac:dyDescent="0.25">
      <c r="A791" s="196" t="s">
        <v>205</v>
      </c>
      <c r="B791" s="186"/>
      <c r="C791" s="185" t="s">
        <v>7</v>
      </c>
      <c r="D791" s="186"/>
      <c r="E791" s="57">
        <v>0</v>
      </c>
      <c r="F791" s="174">
        <f>2197709/100000</f>
        <v>21.97709</v>
      </c>
      <c r="G791" s="117">
        <v>46.78</v>
      </c>
      <c r="H791" s="126"/>
      <c r="I791" s="140"/>
      <c r="J791" s="140"/>
      <c r="K791" s="140"/>
    </row>
    <row r="792" spans="1:14" ht="21.75" customHeight="1" x14ac:dyDescent="0.25">
      <c r="A792" s="182" t="s">
        <v>488</v>
      </c>
      <c r="B792" s="183"/>
      <c r="C792" s="185" t="s">
        <v>207</v>
      </c>
      <c r="D792" s="186"/>
      <c r="E792" s="38">
        <v>0</v>
      </c>
      <c r="F792" s="174">
        <v>0</v>
      </c>
      <c r="G792" s="117">
        <v>20</v>
      </c>
      <c r="H792" s="66"/>
    </row>
    <row r="793" spans="1:14" ht="21" customHeight="1" x14ac:dyDescent="0.25">
      <c r="A793" s="196" t="s">
        <v>206</v>
      </c>
      <c r="B793" s="186"/>
      <c r="C793" s="185" t="s">
        <v>207</v>
      </c>
      <c r="D793" s="186"/>
      <c r="E793" s="38">
        <v>0</v>
      </c>
      <c r="F793" s="174">
        <f>13400000/100000</f>
        <v>134</v>
      </c>
      <c r="G793" s="117">
        <v>0</v>
      </c>
      <c r="H793" s="64"/>
    </row>
    <row r="794" spans="1:14" ht="18" customHeight="1" x14ac:dyDescent="0.25">
      <c r="A794" s="182" t="s">
        <v>472</v>
      </c>
      <c r="B794" s="183"/>
      <c r="C794" s="185" t="s">
        <v>207</v>
      </c>
      <c r="D794" s="186"/>
      <c r="E794" s="38">
        <v>0</v>
      </c>
      <c r="F794" s="47">
        <v>0</v>
      </c>
      <c r="G794" s="51">
        <v>22.81</v>
      </c>
      <c r="H794" s="64"/>
    </row>
    <row r="795" spans="1:14" ht="20.25" customHeight="1" x14ac:dyDescent="0.25">
      <c r="A795" s="182" t="s">
        <v>486</v>
      </c>
      <c r="B795" s="183"/>
      <c r="C795" s="182" t="s">
        <v>487</v>
      </c>
      <c r="D795" s="183"/>
      <c r="E795" s="38">
        <v>0</v>
      </c>
      <c r="F795" s="47">
        <v>0</v>
      </c>
      <c r="G795" s="51">
        <v>563</v>
      </c>
      <c r="H795" s="64"/>
    </row>
    <row r="796" spans="1:14" ht="18" customHeight="1" x14ac:dyDescent="0.25">
      <c r="A796" s="196" t="s">
        <v>208</v>
      </c>
      <c r="B796" s="186"/>
      <c r="C796" s="185" t="s">
        <v>402</v>
      </c>
      <c r="D796" s="186"/>
      <c r="E796" s="38">
        <v>0</v>
      </c>
      <c r="F796" s="47">
        <f>200000/100000</f>
        <v>2</v>
      </c>
      <c r="G796" s="51">
        <v>0</v>
      </c>
      <c r="H796" s="64"/>
    </row>
    <row r="797" spans="1:14" ht="34.5" customHeight="1" x14ac:dyDescent="0.25">
      <c r="A797" s="175" t="s">
        <v>514</v>
      </c>
      <c r="B797" s="175"/>
      <c r="C797" s="185" t="s">
        <v>463</v>
      </c>
      <c r="D797" s="185"/>
      <c r="E797" s="57">
        <v>0</v>
      </c>
      <c r="F797" s="174">
        <v>0</v>
      </c>
      <c r="G797" s="117">
        <v>48.8</v>
      </c>
      <c r="H797" s="66"/>
    </row>
    <row r="798" spans="1:14" ht="18" customHeight="1" x14ac:dyDescent="0.25">
      <c r="A798" s="175"/>
      <c r="B798" s="175"/>
      <c r="C798" s="185" t="s">
        <v>515</v>
      </c>
      <c r="D798" s="185"/>
      <c r="E798" s="38">
        <v>0</v>
      </c>
      <c r="F798" s="47">
        <v>0</v>
      </c>
      <c r="G798" s="51">
        <v>27.8</v>
      </c>
      <c r="H798" s="64"/>
    </row>
    <row r="799" spans="1:14" ht="18" customHeight="1" x14ac:dyDescent="0.25">
      <c r="A799" s="175"/>
      <c r="B799" s="175"/>
      <c r="C799" s="185" t="s">
        <v>453</v>
      </c>
      <c r="D799" s="185"/>
      <c r="E799" s="38">
        <v>0</v>
      </c>
      <c r="F799" s="47">
        <v>0</v>
      </c>
      <c r="G799" s="51">
        <v>24.6</v>
      </c>
      <c r="H799" s="64">
        <f>E785+E786+E787+E788+E789+E790</f>
        <v>5345.66</v>
      </c>
      <c r="I799" s="39">
        <f>F785+F786+F787+F788+F789+F790+F791+F792+F793+F794+F795+F796+F797+F798+F799</f>
        <v>4600.43282</v>
      </c>
      <c r="J799" s="39">
        <f>G785+G786+G787+G788+G789+G790+G791+G792+G793+G794+G795+G796+G797+G798+G799</f>
        <v>4819.9800000000014</v>
      </c>
    </row>
    <row r="800" spans="1:14" ht="30.95" customHeight="1" x14ac:dyDescent="0.25">
      <c r="A800" s="187" t="s">
        <v>678</v>
      </c>
      <c r="B800" s="187"/>
      <c r="C800" s="187"/>
      <c r="D800" s="187"/>
      <c r="E800" s="187"/>
      <c r="F800" s="187"/>
      <c r="G800" s="187"/>
      <c r="H800" s="166"/>
      <c r="I800" s="42"/>
      <c r="J800" s="42"/>
      <c r="K800" s="42"/>
      <c r="L800" s="42"/>
      <c r="M800" s="42"/>
      <c r="N800" s="42"/>
    </row>
    <row r="801" spans="1:14" x14ac:dyDescent="0.25">
      <c r="A801" s="187" t="s">
        <v>53</v>
      </c>
      <c r="B801" s="187"/>
      <c r="C801" s="187"/>
      <c r="D801" s="187"/>
      <c r="E801" s="187"/>
      <c r="F801" s="187"/>
      <c r="G801" s="187"/>
      <c r="H801" s="166"/>
      <c r="I801" s="42"/>
      <c r="J801" s="42"/>
      <c r="K801" s="42"/>
      <c r="L801" s="42"/>
    </row>
    <row r="802" spans="1:14" x14ac:dyDescent="0.25">
      <c r="A802" s="188" t="s">
        <v>54</v>
      </c>
      <c r="B802" s="188"/>
      <c r="C802" s="188"/>
      <c r="D802" s="188"/>
      <c r="E802" s="188"/>
      <c r="F802" s="188"/>
      <c r="G802" s="188"/>
      <c r="H802" s="168"/>
      <c r="I802" s="44"/>
      <c r="J802" s="44"/>
      <c r="K802" s="44"/>
      <c r="L802" s="44"/>
    </row>
    <row r="803" spans="1:14" x14ac:dyDescent="0.25">
      <c r="A803" s="44"/>
      <c r="B803" s="44"/>
      <c r="C803" s="44"/>
      <c r="D803" s="44"/>
      <c r="E803" s="44"/>
      <c r="G803" s="44"/>
      <c r="H803" s="44"/>
      <c r="I803" s="168"/>
      <c r="J803" s="168"/>
      <c r="K803" s="168"/>
      <c r="L803" s="168"/>
    </row>
    <row r="804" spans="1:14" x14ac:dyDescent="0.25">
      <c r="A804" s="189" t="s">
        <v>244</v>
      </c>
      <c r="B804" s="178"/>
      <c r="C804" s="190" t="s">
        <v>72</v>
      </c>
      <c r="D804" s="190"/>
      <c r="E804" s="190"/>
      <c r="F804" s="190"/>
      <c r="G804" s="191"/>
      <c r="H804" s="173"/>
      <c r="I804" s="168"/>
      <c r="J804" s="168"/>
      <c r="K804" s="168"/>
      <c r="L804" s="44"/>
      <c r="M804" s="44"/>
      <c r="N804" s="168"/>
    </row>
    <row r="805" spans="1:14" x14ac:dyDescent="0.25">
      <c r="A805" s="176" t="s">
        <v>70</v>
      </c>
      <c r="B805" s="177"/>
      <c r="C805" s="176" t="s">
        <v>51</v>
      </c>
      <c r="D805" s="184"/>
      <c r="E805" s="178" t="s">
        <v>99</v>
      </c>
      <c r="F805" s="178"/>
      <c r="G805" s="179"/>
      <c r="H805" s="166"/>
      <c r="I805" s="168"/>
      <c r="J805" s="168"/>
      <c r="K805" s="168"/>
      <c r="L805" s="44"/>
      <c r="M805" s="44"/>
      <c r="N805" s="168"/>
    </row>
    <row r="806" spans="1:14" x14ac:dyDescent="0.25">
      <c r="A806" s="180"/>
      <c r="B806" s="181"/>
      <c r="C806" s="180"/>
      <c r="D806" s="181"/>
      <c r="E806" s="164" t="s">
        <v>597</v>
      </c>
      <c r="F806" s="165" t="s">
        <v>57</v>
      </c>
      <c r="G806" s="165" t="s">
        <v>55</v>
      </c>
      <c r="H806" s="166"/>
      <c r="I806" s="168"/>
      <c r="J806" s="168"/>
      <c r="K806" s="168"/>
      <c r="L806" s="44"/>
      <c r="M806" s="44"/>
      <c r="N806" s="168"/>
    </row>
    <row r="807" spans="1:14" ht="19.149999999999999" customHeight="1" x14ac:dyDescent="0.25">
      <c r="A807" s="196" t="s">
        <v>209</v>
      </c>
      <c r="B807" s="186"/>
      <c r="C807" s="185" t="s">
        <v>4</v>
      </c>
      <c r="D807" s="186"/>
      <c r="E807" s="38">
        <v>0</v>
      </c>
      <c r="F807" s="47">
        <f>10000000/100000</f>
        <v>100</v>
      </c>
      <c r="G807" s="51">
        <v>0</v>
      </c>
      <c r="H807" s="64"/>
      <c r="I807" s="129"/>
    </row>
    <row r="808" spans="1:14" ht="18" customHeight="1" x14ac:dyDescent="0.25">
      <c r="A808" s="196" t="s">
        <v>210</v>
      </c>
      <c r="B808" s="186"/>
      <c r="C808" s="185" t="s">
        <v>211</v>
      </c>
      <c r="D808" s="186"/>
      <c r="E808" s="38">
        <v>0</v>
      </c>
      <c r="F808" s="47">
        <f>7575370/100000</f>
        <v>75.753699999999995</v>
      </c>
      <c r="G808" s="51">
        <v>130.44999999999999</v>
      </c>
      <c r="H808" s="64"/>
    </row>
    <row r="809" spans="1:14" ht="18" customHeight="1" x14ac:dyDescent="0.25">
      <c r="A809" s="185" t="s">
        <v>489</v>
      </c>
      <c r="B809" s="185"/>
      <c r="C809" s="185" t="s">
        <v>490</v>
      </c>
      <c r="D809" s="185"/>
      <c r="E809" s="38">
        <v>0</v>
      </c>
      <c r="F809" s="47">
        <v>0</v>
      </c>
      <c r="G809" s="51">
        <v>4.2</v>
      </c>
      <c r="H809" s="64"/>
    </row>
    <row r="810" spans="1:14" ht="36" customHeight="1" x14ac:dyDescent="0.25">
      <c r="A810" s="175" t="s">
        <v>484</v>
      </c>
      <c r="B810" s="175"/>
      <c r="C810" s="193" t="s">
        <v>485</v>
      </c>
      <c r="D810" s="193"/>
      <c r="E810" s="57">
        <v>0</v>
      </c>
      <c r="F810" s="93">
        <v>0</v>
      </c>
      <c r="G810" s="117">
        <v>77.81</v>
      </c>
      <c r="H810" s="66"/>
      <c r="I810" s="87"/>
      <c r="J810" s="87"/>
    </row>
    <row r="811" spans="1:14" ht="23.25" customHeight="1" x14ac:dyDescent="0.25">
      <c r="A811" s="175" t="s">
        <v>212</v>
      </c>
      <c r="B811" s="175"/>
      <c r="C811" s="185" t="s">
        <v>62</v>
      </c>
      <c r="D811" s="186"/>
      <c r="E811" s="57">
        <v>0</v>
      </c>
      <c r="F811" s="174">
        <f>1500000/100000</f>
        <v>15</v>
      </c>
      <c r="G811" s="117">
        <v>0</v>
      </c>
      <c r="H811" s="64"/>
    </row>
    <row r="812" spans="1:14" ht="35.25" customHeight="1" x14ac:dyDescent="0.25">
      <c r="A812" s="175"/>
      <c r="B812" s="175"/>
      <c r="C812" s="193" t="s">
        <v>7</v>
      </c>
      <c r="D812" s="194"/>
      <c r="E812" s="57">
        <v>0</v>
      </c>
      <c r="F812" s="174">
        <f>3715520/100000</f>
        <v>37.155200000000001</v>
      </c>
      <c r="G812" s="117">
        <v>33.96</v>
      </c>
      <c r="H812" s="66"/>
    </row>
    <row r="813" spans="1:14" ht="22.5" customHeight="1" x14ac:dyDescent="0.25">
      <c r="A813" s="175"/>
      <c r="B813" s="175"/>
      <c r="C813" s="185" t="s">
        <v>462</v>
      </c>
      <c r="D813" s="185"/>
      <c r="E813" s="57">
        <v>0</v>
      </c>
      <c r="F813" s="174">
        <v>0</v>
      </c>
      <c r="G813" s="117">
        <v>7.98</v>
      </c>
      <c r="H813" s="64"/>
      <c r="I813" s="39"/>
      <c r="J813" s="39"/>
    </row>
    <row r="814" spans="1:14" ht="48" customHeight="1" x14ac:dyDescent="0.25">
      <c r="A814" s="196" t="s">
        <v>214</v>
      </c>
      <c r="B814" s="186"/>
      <c r="C814" s="175" t="s">
        <v>241</v>
      </c>
      <c r="D814" s="211"/>
      <c r="E814" s="57">
        <v>0</v>
      </c>
      <c r="F814" s="174">
        <f>15000000/100000</f>
        <v>150</v>
      </c>
      <c r="G814" s="117">
        <v>0</v>
      </c>
      <c r="H814" s="66"/>
    </row>
    <row r="815" spans="1:14" ht="32.25" customHeight="1" x14ac:dyDescent="0.25">
      <c r="A815" s="200" t="s">
        <v>408</v>
      </c>
      <c r="B815" s="201"/>
      <c r="C815" s="193" t="s">
        <v>215</v>
      </c>
      <c r="D815" s="194"/>
      <c r="E815" s="57">
        <v>0</v>
      </c>
      <c r="F815" s="174">
        <f>44041150/100000</f>
        <v>440.41149999999999</v>
      </c>
      <c r="G815" s="60">
        <v>403.19</v>
      </c>
      <c r="H815" s="61"/>
    </row>
    <row r="816" spans="1:14" ht="24.75" customHeight="1" x14ac:dyDescent="0.25">
      <c r="A816" s="202"/>
      <c r="B816" s="203"/>
      <c r="C816" s="185" t="s">
        <v>409</v>
      </c>
      <c r="D816" s="186"/>
      <c r="E816" s="57">
        <v>0</v>
      </c>
      <c r="F816" s="174">
        <f>2647980/100000</f>
        <v>26.479800000000001</v>
      </c>
      <c r="G816" s="60">
        <v>0</v>
      </c>
      <c r="H816" s="61"/>
    </row>
    <row r="817" spans="1:14" ht="36" customHeight="1" x14ac:dyDescent="0.25">
      <c r="A817" s="196" t="s">
        <v>410</v>
      </c>
      <c r="B817" s="186"/>
      <c r="C817" s="197" t="s">
        <v>215</v>
      </c>
      <c r="D817" s="198"/>
      <c r="E817" s="57">
        <v>0</v>
      </c>
      <c r="F817" s="174">
        <f>102246108/100000</f>
        <v>1022.46108</v>
      </c>
      <c r="G817" s="60">
        <v>1867.64</v>
      </c>
      <c r="H817" s="61"/>
      <c r="I817" s="56"/>
      <c r="J817" s="87"/>
    </row>
    <row r="818" spans="1:14" ht="38.25" customHeight="1" x14ac:dyDescent="0.25">
      <c r="A818" s="236" t="s">
        <v>506</v>
      </c>
      <c r="B818" s="236"/>
      <c r="C818" s="236" t="s">
        <v>215</v>
      </c>
      <c r="D818" s="236"/>
      <c r="E818" s="141">
        <v>0</v>
      </c>
      <c r="F818" s="123">
        <v>0</v>
      </c>
      <c r="G818" s="123">
        <v>35.56</v>
      </c>
      <c r="H818" s="142">
        <f>E807+E808+E809+E810+E811+E812+E813+E814+E815+E816+E817+E818</f>
        <v>0</v>
      </c>
      <c r="I818" s="143">
        <f>F807+F808+F809+F810+F811+F812+F813+F814+F815+F816+F817+F818</f>
        <v>1867.2612800000002</v>
      </c>
      <c r="J818" s="126">
        <f>G807+G808+G809+G810+G811+G812+G813+G814+G815+G816+G817+G818</f>
        <v>2560.79</v>
      </c>
      <c r="K818" s="168"/>
      <c r="L818" s="44"/>
      <c r="M818" s="44"/>
      <c r="N818" s="168"/>
    </row>
    <row r="819" spans="1:14" ht="38.25" customHeight="1" x14ac:dyDescent="0.25">
      <c r="A819" s="144"/>
      <c r="B819" s="144"/>
      <c r="C819" s="144"/>
      <c r="D819" s="144"/>
      <c r="E819" s="145"/>
      <c r="F819" s="146"/>
      <c r="G819" s="146"/>
      <c r="H819" s="142"/>
      <c r="I819" s="143"/>
      <c r="J819" s="126"/>
      <c r="K819" s="168"/>
      <c r="L819" s="44"/>
      <c r="M819" s="44"/>
      <c r="N819" s="168"/>
    </row>
    <row r="820" spans="1:14" ht="33.75" customHeight="1" x14ac:dyDescent="0.25">
      <c r="A820" s="246" t="s">
        <v>678</v>
      </c>
      <c r="B820" s="246"/>
      <c r="C820" s="246"/>
      <c r="D820" s="246"/>
      <c r="E820" s="246"/>
      <c r="F820" s="246"/>
      <c r="G820" s="246"/>
      <c r="H820" s="166"/>
      <c r="I820" s="42"/>
      <c r="J820" s="42"/>
      <c r="K820" s="42"/>
      <c r="L820" s="42"/>
      <c r="M820" s="42"/>
      <c r="N820" s="42"/>
    </row>
    <row r="821" spans="1:14" x14ac:dyDescent="0.25">
      <c r="A821" s="187" t="s">
        <v>53</v>
      </c>
      <c r="B821" s="187"/>
      <c r="C821" s="187"/>
      <c r="D821" s="187"/>
      <c r="E821" s="187"/>
      <c r="F821" s="187"/>
      <c r="G821" s="187"/>
      <c r="H821" s="166"/>
      <c r="I821" s="42"/>
      <c r="J821" s="42"/>
      <c r="K821" s="42"/>
      <c r="L821" s="42"/>
    </row>
    <row r="822" spans="1:14" x14ac:dyDescent="0.25">
      <c r="A822" s="188" t="s">
        <v>54</v>
      </c>
      <c r="B822" s="188"/>
      <c r="C822" s="188"/>
      <c r="D822" s="188"/>
      <c r="E822" s="188"/>
      <c r="F822" s="188"/>
      <c r="G822" s="188"/>
      <c r="H822" s="168"/>
      <c r="I822" s="44"/>
      <c r="J822" s="44"/>
      <c r="K822" s="44"/>
      <c r="L822" s="44"/>
    </row>
    <row r="823" spans="1:14" x14ac:dyDescent="0.25">
      <c r="A823" s="44"/>
      <c r="B823" s="44"/>
      <c r="C823" s="44"/>
      <c r="D823" s="44"/>
      <c r="E823" s="44"/>
      <c r="G823" s="44"/>
      <c r="H823" s="44"/>
      <c r="I823" s="168"/>
      <c r="J823" s="168"/>
      <c r="K823" s="168"/>
      <c r="L823" s="168"/>
    </row>
    <row r="824" spans="1:14" x14ac:dyDescent="0.25">
      <c r="A824" s="189" t="s">
        <v>244</v>
      </c>
      <c r="B824" s="178"/>
      <c r="C824" s="190" t="s">
        <v>72</v>
      </c>
      <c r="D824" s="190"/>
      <c r="E824" s="190"/>
      <c r="F824" s="190"/>
      <c r="G824" s="191"/>
      <c r="H824" s="173"/>
      <c r="I824" s="168"/>
      <c r="J824" s="168"/>
      <c r="K824" s="168"/>
      <c r="L824" s="44"/>
      <c r="M824" s="44"/>
      <c r="N824" s="168"/>
    </row>
    <row r="825" spans="1:14" x14ac:dyDescent="0.25">
      <c r="A825" s="176" t="s">
        <v>70</v>
      </c>
      <c r="B825" s="177"/>
      <c r="C825" s="176" t="s">
        <v>51</v>
      </c>
      <c r="D825" s="184"/>
      <c r="E825" s="178" t="s">
        <v>99</v>
      </c>
      <c r="F825" s="178"/>
      <c r="G825" s="179"/>
      <c r="H825" s="166"/>
      <c r="I825" s="168"/>
      <c r="J825" s="168"/>
      <c r="K825" s="168"/>
      <c r="L825" s="44"/>
      <c r="M825" s="44"/>
      <c r="N825" s="168"/>
    </row>
    <row r="826" spans="1:14" x14ac:dyDescent="0.25">
      <c r="A826" s="180"/>
      <c r="B826" s="181"/>
      <c r="C826" s="180"/>
      <c r="D826" s="181"/>
      <c r="E826" s="164" t="s">
        <v>597</v>
      </c>
      <c r="F826" s="165" t="s">
        <v>57</v>
      </c>
      <c r="G826" s="165" t="s">
        <v>55</v>
      </c>
      <c r="H826" s="166"/>
      <c r="I826" s="168"/>
      <c r="J826" s="168"/>
      <c r="K826" s="168"/>
      <c r="L826" s="44"/>
      <c r="M826" s="44"/>
      <c r="N826" s="168"/>
    </row>
    <row r="827" spans="1:14" ht="34.5" customHeight="1" x14ac:dyDescent="0.25">
      <c r="A827" s="196" t="s">
        <v>216</v>
      </c>
      <c r="B827" s="186"/>
      <c r="C827" s="175" t="s">
        <v>217</v>
      </c>
      <c r="D827" s="211"/>
      <c r="E827" s="141">
        <v>0</v>
      </c>
      <c r="F827" s="93">
        <f>811850004/100000</f>
        <v>8118.5000399999999</v>
      </c>
      <c r="G827" s="123">
        <v>2162.89</v>
      </c>
      <c r="H827" s="61"/>
      <c r="I827" s="39"/>
      <c r="J827" s="39"/>
    </row>
    <row r="828" spans="1:14" ht="23.25" customHeight="1" x14ac:dyDescent="0.25">
      <c r="A828" s="200" t="s">
        <v>507</v>
      </c>
      <c r="B828" s="201"/>
      <c r="C828" s="185" t="s">
        <v>508</v>
      </c>
      <c r="D828" s="185"/>
      <c r="E828" s="141">
        <v>0</v>
      </c>
      <c r="F828" s="93">
        <v>0</v>
      </c>
      <c r="G828" s="123">
        <v>10.01</v>
      </c>
      <c r="H828" s="61"/>
    </row>
    <row r="829" spans="1:14" ht="27" customHeight="1" x14ac:dyDescent="0.25">
      <c r="A829" s="202"/>
      <c r="B829" s="203"/>
      <c r="C829" s="185" t="s">
        <v>509</v>
      </c>
      <c r="D829" s="185"/>
      <c r="E829" s="141">
        <v>0</v>
      </c>
      <c r="F829" s="93">
        <v>0</v>
      </c>
      <c r="G829" s="123">
        <v>72.959999999999994</v>
      </c>
      <c r="H829" s="61"/>
    </row>
    <row r="830" spans="1:14" ht="22.5" customHeight="1" x14ac:dyDescent="0.25">
      <c r="A830" s="175" t="s">
        <v>510</v>
      </c>
      <c r="B830" s="175"/>
      <c r="C830" s="185" t="s">
        <v>511</v>
      </c>
      <c r="D830" s="185"/>
      <c r="E830" s="141">
        <v>0</v>
      </c>
      <c r="F830" s="93">
        <v>0</v>
      </c>
      <c r="G830" s="123">
        <v>928</v>
      </c>
      <c r="H830" s="61"/>
    </row>
    <row r="831" spans="1:14" ht="20.25" customHeight="1" x14ac:dyDescent="0.25">
      <c r="A831" s="175"/>
      <c r="B831" s="175"/>
      <c r="C831" s="185" t="s">
        <v>258</v>
      </c>
      <c r="D831" s="185"/>
      <c r="E831" s="141">
        <v>0</v>
      </c>
      <c r="F831" s="93">
        <v>0</v>
      </c>
      <c r="G831" s="123">
        <v>32.700000000000003</v>
      </c>
      <c r="H831" s="61"/>
      <c r="I831" s="58"/>
      <c r="J831" s="39"/>
      <c r="K831" s="39"/>
    </row>
    <row r="832" spans="1:14" ht="24" customHeight="1" x14ac:dyDescent="0.25">
      <c r="A832" s="175" t="s">
        <v>411</v>
      </c>
      <c r="B832" s="175"/>
      <c r="C832" s="185" t="s">
        <v>267</v>
      </c>
      <c r="D832" s="186"/>
      <c r="E832" s="141">
        <v>0</v>
      </c>
      <c r="F832" s="83">
        <f>1855744/100000</f>
        <v>18.55744</v>
      </c>
      <c r="G832" s="48">
        <v>21.72</v>
      </c>
      <c r="H832" s="49"/>
    </row>
    <row r="833" spans="1:14" ht="34.5" customHeight="1" x14ac:dyDescent="0.25">
      <c r="A833" s="175"/>
      <c r="B833" s="175"/>
      <c r="C833" s="185" t="s">
        <v>218</v>
      </c>
      <c r="D833" s="186"/>
      <c r="E833" s="141">
        <v>0</v>
      </c>
      <c r="F833" s="93">
        <f>6979444/100000</f>
        <v>69.794439999999994</v>
      </c>
      <c r="G833" s="54">
        <v>30.02</v>
      </c>
      <c r="H833" s="55"/>
      <c r="I833" s="129"/>
    </row>
    <row r="834" spans="1:14" ht="34.5" customHeight="1" x14ac:dyDescent="0.25">
      <c r="A834" s="175"/>
      <c r="B834" s="175"/>
      <c r="C834" s="185" t="s">
        <v>219</v>
      </c>
      <c r="D834" s="186"/>
      <c r="E834" s="141">
        <v>0</v>
      </c>
      <c r="F834" s="93">
        <f>2538000/100000</f>
        <v>25.38</v>
      </c>
      <c r="G834" s="60">
        <v>0</v>
      </c>
      <c r="H834" s="61"/>
    </row>
    <row r="835" spans="1:14" ht="34.5" customHeight="1" x14ac:dyDescent="0.25">
      <c r="A835" s="175"/>
      <c r="B835" s="175"/>
      <c r="C835" s="185" t="s">
        <v>220</v>
      </c>
      <c r="D835" s="186"/>
      <c r="E835" s="141">
        <v>0</v>
      </c>
      <c r="F835" s="93">
        <f>2164432/100000</f>
        <v>21.64432</v>
      </c>
      <c r="G835" s="60">
        <v>46.21</v>
      </c>
      <c r="H835" s="61"/>
    </row>
    <row r="836" spans="1:14" ht="34.5" customHeight="1" x14ac:dyDescent="0.25">
      <c r="A836" s="175"/>
      <c r="B836" s="175"/>
      <c r="C836" s="185" t="s">
        <v>463</v>
      </c>
      <c r="D836" s="186"/>
      <c r="E836" s="141">
        <v>0</v>
      </c>
      <c r="F836" s="93">
        <f>4883320/100000</f>
        <v>48.833199999999998</v>
      </c>
      <c r="G836" s="60">
        <v>0</v>
      </c>
      <c r="H836" s="61"/>
    </row>
    <row r="837" spans="1:14" ht="23.25" customHeight="1" x14ac:dyDescent="0.25">
      <c r="A837" s="175"/>
      <c r="B837" s="175"/>
      <c r="C837" s="185" t="s">
        <v>221</v>
      </c>
      <c r="D837" s="186"/>
      <c r="E837" s="141">
        <v>0</v>
      </c>
      <c r="F837" s="93">
        <f>297866/100000</f>
        <v>2.9786600000000001</v>
      </c>
      <c r="G837" s="60">
        <v>12.46</v>
      </c>
      <c r="H837" s="49"/>
    </row>
    <row r="838" spans="1:14" ht="24" customHeight="1" x14ac:dyDescent="0.25">
      <c r="A838" s="175"/>
      <c r="B838" s="175"/>
      <c r="C838" s="185" t="s">
        <v>310</v>
      </c>
      <c r="D838" s="186"/>
      <c r="E838" s="141">
        <v>0</v>
      </c>
      <c r="F838" s="93">
        <f>2431290/100000</f>
        <v>24.312899999999999</v>
      </c>
      <c r="G838" s="60">
        <v>0</v>
      </c>
      <c r="H838" s="61"/>
      <c r="I838" s="56"/>
      <c r="J838" s="56"/>
    </row>
    <row r="839" spans="1:14" ht="25.5" customHeight="1" x14ac:dyDescent="0.25">
      <c r="A839" s="175"/>
      <c r="B839" s="175"/>
      <c r="C839" s="185" t="s">
        <v>222</v>
      </c>
      <c r="D839" s="186"/>
      <c r="E839" s="57">
        <v>0</v>
      </c>
      <c r="F839" s="93">
        <f>1346000/100000</f>
        <v>13.46</v>
      </c>
      <c r="G839" s="60">
        <v>12.06</v>
      </c>
      <c r="H839" s="49">
        <f>E827+E828+E829+E830+E831+E832+E833+E834+E835+E836+E837+E838+E839</f>
        <v>0</v>
      </c>
      <c r="I839" s="75">
        <f>F827+F828+F829+F830+F831+F832+F833+F834+F835+F836+F837+F838+F839</f>
        <v>8343.4609999999975</v>
      </c>
      <c r="J839" s="58">
        <f>G827+G828+G829+G830+G831+G832+G833+G834+G835+G836+G837+G838+G839</f>
        <v>3329.0299999999997</v>
      </c>
    </row>
    <row r="840" spans="1:14" ht="33" customHeight="1" x14ac:dyDescent="0.25">
      <c r="A840" s="187" t="s">
        <v>678</v>
      </c>
      <c r="B840" s="187"/>
      <c r="C840" s="187"/>
      <c r="D840" s="187"/>
      <c r="E840" s="187"/>
      <c r="F840" s="187"/>
      <c r="G840" s="187"/>
      <c r="H840" s="166"/>
      <c r="I840" s="42"/>
      <c r="J840" s="42"/>
      <c r="K840" s="42"/>
      <c r="L840" s="42"/>
      <c r="M840" s="42"/>
      <c r="N840" s="42"/>
    </row>
    <row r="841" spans="1:14" x14ac:dyDescent="0.25">
      <c r="A841" s="187" t="s">
        <v>53</v>
      </c>
      <c r="B841" s="187"/>
      <c r="C841" s="187"/>
      <c r="D841" s="187"/>
      <c r="E841" s="187"/>
      <c r="F841" s="187"/>
      <c r="G841" s="187"/>
      <c r="H841" s="166"/>
      <c r="I841" s="42"/>
      <c r="J841" s="42"/>
      <c r="K841" s="42"/>
      <c r="L841" s="42"/>
    </row>
    <row r="842" spans="1:14" x14ac:dyDescent="0.25">
      <c r="A842" s="188" t="s">
        <v>54</v>
      </c>
      <c r="B842" s="188"/>
      <c r="C842" s="188"/>
      <c r="D842" s="188"/>
      <c r="E842" s="188"/>
      <c r="F842" s="188"/>
      <c r="G842" s="188"/>
      <c r="H842" s="168"/>
      <c r="I842" s="44"/>
      <c r="J842" s="44"/>
      <c r="K842" s="44"/>
      <c r="L842" s="44"/>
    </row>
    <row r="843" spans="1:14" x14ac:dyDescent="0.25">
      <c r="A843" s="44"/>
      <c r="B843" s="44"/>
      <c r="C843" s="44"/>
      <c r="D843" s="44"/>
      <c r="E843" s="44"/>
      <c r="G843" s="44"/>
      <c r="H843" s="44"/>
      <c r="I843" s="168"/>
      <c r="J843" s="168"/>
      <c r="K843" s="168"/>
      <c r="L843" s="168"/>
    </row>
    <row r="844" spans="1:14" x14ac:dyDescent="0.25">
      <c r="A844" s="189" t="s">
        <v>244</v>
      </c>
      <c r="B844" s="178"/>
      <c r="C844" s="190" t="s">
        <v>72</v>
      </c>
      <c r="D844" s="190"/>
      <c r="E844" s="190"/>
      <c r="F844" s="190"/>
      <c r="G844" s="191"/>
      <c r="H844" s="173"/>
      <c r="I844" s="168"/>
      <c r="J844" s="168"/>
      <c r="K844" s="168"/>
      <c r="L844" s="44"/>
      <c r="M844" s="44"/>
      <c r="N844" s="168"/>
    </row>
    <row r="845" spans="1:14" x14ac:dyDescent="0.25">
      <c r="A845" s="176" t="s">
        <v>70</v>
      </c>
      <c r="B845" s="177"/>
      <c r="C845" s="176" t="s">
        <v>51</v>
      </c>
      <c r="D845" s="184"/>
      <c r="E845" s="178" t="s">
        <v>99</v>
      </c>
      <c r="F845" s="178"/>
      <c r="G845" s="179"/>
      <c r="H845" s="166"/>
      <c r="I845" s="168"/>
      <c r="J845" s="168"/>
      <c r="K845" s="168"/>
      <c r="L845" s="44"/>
      <c r="M845" s="44"/>
      <c r="N845" s="168"/>
    </row>
    <row r="846" spans="1:14" x14ac:dyDescent="0.25">
      <c r="A846" s="180"/>
      <c r="B846" s="181"/>
      <c r="C846" s="180"/>
      <c r="D846" s="181"/>
      <c r="E846" s="164" t="s">
        <v>597</v>
      </c>
      <c r="F846" s="165" t="s">
        <v>57</v>
      </c>
      <c r="G846" s="165" t="s">
        <v>55</v>
      </c>
      <c r="H846" s="166"/>
      <c r="I846" s="168"/>
      <c r="J846" s="168"/>
      <c r="K846" s="168"/>
      <c r="L846" s="44"/>
      <c r="M846" s="44"/>
      <c r="N846" s="168"/>
    </row>
    <row r="847" spans="1:14" ht="20.25" customHeight="1" x14ac:dyDescent="0.25">
      <c r="A847" s="175" t="s">
        <v>411</v>
      </c>
      <c r="B847" s="175"/>
      <c r="C847" s="185" t="s">
        <v>412</v>
      </c>
      <c r="D847" s="186"/>
      <c r="E847" s="38">
        <v>0</v>
      </c>
      <c r="F847" s="83">
        <f>5088445/100000</f>
        <v>50.884450000000001</v>
      </c>
      <c r="G847" s="48">
        <v>7.45</v>
      </c>
      <c r="H847" s="49"/>
    </row>
    <row r="848" spans="1:14" ht="15.75" customHeight="1" x14ac:dyDescent="0.25">
      <c r="A848" s="175"/>
      <c r="B848" s="175"/>
      <c r="C848" s="185" t="s">
        <v>82</v>
      </c>
      <c r="D848" s="186"/>
      <c r="E848" s="38">
        <v>0</v>
      </c>
      <c r="F848" s="83">
        <f>2120850/100000</f>
        <v>21.208500000000001</v>
      </c>
      <c r="G848" s="48">
        <v>7.07</v>
      </c>
      <c r="H848" s="49"/>
      <c r="I848" s="58"/>
      <c r="J848" s="58"/>
    </row>
    <row r="849" spans="1:14" ht="21.75" customHeight="1" x14ac:dyDescent="0.25">
      <c r="A849" s="175"/>
      <c r="B849" s="175"/>
      <c r="C849" s="185" t="s">
        <v>3</v>
      </c>
      <c r="D849" s="186"/>
      <c r="E849" s="57">
        <v>0</v>
      </c>
      <c r="F849" s="174">
        <f>693620/100000</f>
        <v>6.9362000000000004</v>
      </c>
      <c r="G849" s="60">
        <v>0</v>
      </c>
      <c r="H849" s="49"/>
    </row>
    <row r="850" spans="1:14" ht="35.25" customHeight="1" x14ac:dyDescent="0.25">
      <c r="A850" s="175"/>
      <c r="B850" s="175"/>
      <c r="C850" s="193" t="s">
        <v>223</v>
      </c>
      <c r="D850" s="194"/>
      <c r="E850" s="57">
        <v>0</v>
      </c>
      <c r="F850" s="174">
        <f>11138107/100000</f>
        <v>111.38106999999999</v>
      </c>
      <c r="G850" s="147">
        <v>65.3</v>
      </c>
      <c r="H850" s="148"/>
    </row>
    <row r="851" spans="1:14" ht="20.25" customHeight="1" x14ac:dyDescent="0.25">
      <c r="A851" s="175"/>
      <c r="B851" s="175"/>
      <c r="C851" s="185" t="s">
        <v>13</v>
      </c>
      <c r="D851" s="186"/>
      <c r="E851" s="38">
        <v>0</v>
      </c>
      <c r="F851" s="47">
        <f>1397415/100000</f>
        <v>13.97415</v>
      </c>
      <c r="G851" s="48">
        <v>7.07</v>
      </c>
      <c r="H851" s="49"/>
      <c r="I851" s="58"/>
      <c r="J851" s="58"/>
    </row>
    <row r="852" spans="1:14" ht="35.25" customHeight="1" x14ac:dyDescent="0.25">
      <c r="A852" s="175"/>
      <c r="B852" s="175"/>
      <c r="C852" s="185" t="s">
        <v>133</v>
      </c>
      <c r="D852" s="186"/>
      <c r="E852" s="57">
        <v>0</v>
      </c>
      <c r="F852" s="174">
        <f>11845577/100000</f>
        <v>118.45577</v>
      </c>
      <c r="G852" s="60">
        <v>57.46</v>
      </c>
      <c r="H852" s="61"/>
    </row>
    <row r="853" spans="1:14" ht="23.25" customHeight="1" x14ac:dyDescent="0.25">
      <c r="A853" s="175"/>
      <c r="B853" s="175"/>
      <c r="C853" s="185" t="s">
        <v>14</v>
      </c>
      <c r="D853" s="186"/>
      <c r="E853" s="57">
        <v>0</v>
      </c>
      <c r="F853" s="174">
        <f>5422875/100000</f>
        <v>54.228749999999998</v>
      </c>
      <c r="G853" s="60">
        <v>14.1</v>
      </c>
      <c r="H853" s="49"/>
    </row>
    <row r="854" spans="1:14" ht="23.25" customHeight="1" x14ac:dyDescent="0.25">
      <c r="A854" s="196" t="s">
        <v>413</v>
      </c>
      <c r="B854" s="186"/>
      <c r="C854" s="185" t="s">
        <v>258</v>
      </c>
      <c r="D854" s="186"/>
      <c r="E854" s="57">
        <v>0</v>
      </c>
      <c r="F854" s="174">
        <f>1200000/100000</f>
        <v>12</v>
      </c>
      <c r="G854" s="130">
        <v>12</v>
      </c>
      <c r="H854" s="131"/>
    </row>
    <row r="855" spans="1:14" ht="24" customHeight="1" x14ac:dyDescent="0.25">
      <c r="A855" s="185" t="s">
        <v>497</v>
      </c>
      <c r="B855" s="185"/>
      <c r="C855" s="185" t="s">
        <v>496</v>
      </c>
      <c r="D855" s="185"/>
      <c r="E855" s="50">
        <v>0</v>
      </c>
      <c r="F855" s="93">
        <v>0</v>
      </c>
      <c r="G855" s="117">
        <v>304.37</v>
      </c>
      <c r="H855" s="66"/>
    </row>
    <row r="856" spans="1:14" ht="21.75" customHeight="1" x14ac:dyDescent="0.25">
      <c r="A856" s="185" t="s">
        <v>498</v>
      </c>
      <c r="B856" s="185"/>
      <c r="C856" s="185" t="s">
        <v>267</v>
      </c>
      <c r="D856" s="185"/>
      <c r="E856" s="50">
        <v>0</v>
      </c>
      <c r="F856" s="93">
        <v>0</v>
      </c>
      <c r="G856" s="117">
        <v>15.21</v>
      </c>
      <c r="H856" s="66"/>
    </row>
    <row r="857" spans="1:14" ht="21" customHeight="1" x14ac:dyDescent="0.25">
      <c r="A857" s="196" t="s">
        <v>415</v>
      </c>
      <c r="B857" s="186"/>
      <c r="C857" s="185" t="s">
        <v>226</v>
      </c>
      <c r="D857" s="186"/>
      <c r="E857" s="57">
        <v>0</v>
      </c>
      <c r="F857" s="93">
        <f>1500000/100000</f>
        <v>15</v>
      </c>
      <c r="G857" s="117">
        <v>0</v>
      </c>
      <c r="H857" s="64"/>
      <c r="I857" s="129"/>
      <c r="J857" s="58"/>
    </row>
    <row r="858" spans="1:14" ht="23.25" customHeight="1" x14ac:dyDescent="0.25">
      <c r="A858" s="175" t="s">
        <v>494</v>
      </c>
      <c r="B858" s="175"/>
      <c r="C858" s="185" t="s">
        <v>12</v>
      </c>
      <c r="D858" s="185"/>
      <c r="E858" s="57">
        <v>0</v>
      </c>
      <c r="F858" s="93">
        <v>0</v>
      </c>
      <c r="G858" s="117">
        <v>648.16999999999996</v>
      </c>
      <c r="H858" s="66"/>
      <c r="I858" s="129"/>
    </row>
    <row r="859" spans="1:14" ht="38.25" customHeight="1" x14ac:dyDescent="0.25">
      <c r="A859" s="215" t="s">
        <v>229</v>
      </c>
      <c r="B859" s="216"/>
      <c r="C859" s="213" t="s">
        <v>88</v>
      </c>
      <c r="D859" s="214"/>
      <c r="E859" s="98">
        <v>0</v>
      </c>
      <c r="F859" s="93">
        <f>70120000/100000</f>
        <v>701.2</v>
      </c>
      <c r="G859" s="117">
        <v>0</v>
      </c>
      <c r="H859" s="66"/>
    </row>
    <row r="860" spans="1:14" ht="39.75" customHeight="1" x14ac:dyDescent="0.25">
      <c r="A860" s="196" t="s">
        <v>230</v>
      </c>
      <c r="B860" s="186"/>
      <c r="C860" s="213" t="s">
        <v>416</v>
      </c>
      <c r="D860" s="214"/>
      <c r="E860" s="98">
        <v>0</v>
      </c>
      <c r="F860" s="93">
        <f>1431020/100000</f>
        <v>14.3102</v>
      </c>
      <c r="G860" s="117">
        <v>0</v>
      </c>
      <c r="H860" s="66">
        <f>E847+E848+E849+E850+E851+E852+E853+E854+E855+E856+E857+E858+E859+E860</f>
        <v>0</v>
      </c>
      <c r="I860" s="118">
        <f>F847+F848+F849+F850+F851+F852+F853+F854+F855+F856+F857+F858+F859+F860</f>
        <v>1119.57909</v>
      </c>
      <c r="J860" s="56">
        <f>G847+G848+G849+G850+G851+G852+G853+G854+G855+G856+G857+G858+G859+G860</f>
        <v>1138.1999999999998</v>
      </c>
    </row>
    <row r="861" spans="1:14" ht="28.9" customHeight="1" x14ac:dyDescent="0.25">
      <c r="A861" s="187" t="s">
        <v>678</v>
      </c>
      <c r="B861" s="187"/>
      <c r="C861" s="187"/>
      <c r="D861" s="187"/>
      <c r="E861" s="187"/>
      <c r="F861" s="187"/>
      <c r="G861" s="187"/>
      <c r="H861" s="166"/>
      <c r="I861" s="42"/>
      <c r="J861" s="42"/>
      <c r="K861" s="42"/>
      <c r="L861" s="42"/>
      <c r="M861" s="42"/>
      <c r="N861" s="42"/>
    </row>
    <row r="862" spans="1:14" x14ac:dyDescent="0.25">
      <c r="A862" s="187" t="s">
        <v>53</v>
      </c>
      <c r="B862" s="187"/>
      <c r="C862" s="187"/>
      <c r="D862" s="187"/>
      <c r="E862" s="187"/>
      <c r="F862" s="187"/>
      <c r="G862" s="187"/>
      <c r="H862" s="166"/>
      <c r="I862" s="42"/>
      <c r="J862" s="42"/>
      <c r="K862" s="42"/>
      <c r="L862" s="42"/>
    </row>
    <row r="863" spans="1:14" x14ac:dyDescent="0.25">
      <c r="A863" s="188" t="s">
        <v>54</v>
      </c>
      <c r="B863" s="188"/>
      <c r="C863" s="188"/>
      <c r="D863" s="188"/>
      <c r="E863" s="188"/>
      <c r="F863" s="188"/>
      <c r="G863" s="188"/>
      <c r="H863" s="168"/>
      <c r="I863" s="44"/>
      <c r="J863" s="44"/>
      <c r="K863" s="44"/>
      <c r="L863" s="44"/>
    </row>
    <row r="864" spans="1:14" x14ac:dyDescent="0.25">
      <c r="A864" s="44"/>
      <c r="B864" s="44"/>
      <c r="C864" s="44"/>
      <c r="D864" s="44"/>
      <c r="E864" s="44"/>
      <c r="G864" s="44"/>
      <c r="H864" s="44"/>
      <c r="I864" s="168"/>
      <c r="J864" s="168"/>
      <c r="K864" s="168"/>
      <c r="L864" s="168"/>
    </row>
    <row r="865" spans="1:14" x14ac:dyDescent="0.25">
      <c r="A865" s="189" t="s">
        <v>244</v>
      </c>
      <c r="B865" s="178"/>
      <c r="C865" s="190" t="s">
        <v>72</v>
      </c>
      <c r="D865" s="190"/>
      <c r="E865" s="190"/>
      <c r="F865" s="190"/>
      <c r="G865" s="191"/>
      <c r="H865" s="173"/>
      <c r="I865" s="168"/>
      <c r="J865" s="168"/>
      <c r="K865" s="168"/>
      <c r="L865" s="44"/>
      <c r="M865" s="44"/>
      <c r="N865" s="168"/>
    </row>
    <row r="866" spans="1:14" x14ac:dyDescent="0.25">
      <c r="A866" s="176" t="s">
        <v>70</v>
      </c>
      <c r="B866" s="177"/>
      <c r="C866" s="176" t="s">
        <v>51</v>
      </c>
      <c r="D866" s="184"/>
      <c r="E866" s="178" t="s">
        <v>99</v>
      </c>
      <c r="F866" s="178"/>
      <c r="G866" s="179"/>
      <c r="H866" s="166"/>
      <c r="I866" s="168"/>
      <c r="J866" s="168"/>
      <c r="K866" s="168"/>
      <c r="L866" s="44"/>
      <c r="M866" s="44"/>
      <c r="N866" s="168"/>
    </row>
    <row r="867" spans="1:14" x14ac:dyDescent="0.25">
      <c r="A867" s="180"/>
      <c r="B867" s="181"/>
      <c r="C867" s="180"/>
      <c r="D867" s="181"/>
      <c r="E867" s="164" t="s">
        <v>597</v>
      </c>
      <c r="F867" s="165" t="s">
        <v>57</v>
      </c>
      <c r="G867" s="165" t="s">
        <v>55</v>
      </c>
      <c r="H867" s="166"/>
      <c r="I867" s="168"/>
      <c r="J867" s="168"/>
      <c r="K867" s="168"/>
      <c r="L867" s="44"/>
      <c r="M867" s="44"/>
      <c r="N867" s="168"/>
    </row>
    <row r="868" spans="1:14" ht="36.75" customHeight="1" x14ac:dyDescent="0.25">
      <c r="A868" s="196" t="s">
        <v>232</v>
      </c>
      <c r="B868" s="186"/>
      <c r="C868" s="213" t="s">
        <v>417</v>
      </c>
      <c r="D868" s="214"/>
      <c r="E868" s="98">
        <v>0</v>
      </c>
      <c r="F868" s="93">
        <f>480000/100000</f>
        <v>4.8</v>
      </c>
      <c r="G868" s="117">
        <v>4.59</v>
      </c>
      <c r="H868" s="66"/>
    </row>
    <row r="869" spans="1:14" ht="82.5" customHeight="1" x14ac:dyDescent="0.25">
      <c r="A869" s="193" t="s">
        <v>466</v>
      </c>
      <c r="B869" s="194"/>
      <c r="C869" s="213" t="s">
        <v>4</v>
      </c>
      <c r="D869" s="214"/>
      <c r="E869" s="98">
        <v>0</v>
      </c>
      <c r="F869" s="93">
        <f>2870000/100000</f>
        <v>28.7</v>
      </c>
      <c r="G869" s="130">
        <v>0</v>
      </c>
      <c r="H869" s="131"/>
    </row>
    <row r="870" spans="1:14" ht="36.75" customHeight="1" x14ac:dyDescent="0.25">
      <c r="A870" s="175" t="s">
        <v>236</v>
      </c>
      <c r="B870" s="175"/>
      <c r="C870" s="185" t="s">
        <v>580</v>
      </c>
      <c r="D870" s="186"/>
      <c r="E870" s="57">
        <v>0</v>
      </c>
      <c r="F870" s="174">
        <f>27327864/100000</f>
        <v>273.27864</v>
      </c>
      <c r="G870" s="60">
        <v>26</v>
      </c>
      <c r="H870" s="61"/>
      <c r="I870" s="129"/>
    </row>
    <row r="871" spans="1:14" ht="27.75" customHeight="1" x14ac:dyDescent="0.25">
      <c r="A871" s="175"/>
      <c r="B871" s="175"/>
      <c r="C871" s="185" t="s">
        <v>113</v>
      </c>
      <c r="D871" s="186"/>
      <c r="E871" s="57">
        <v>0</v>
      </c>
      <c r="F871" s="174">
        <f>26866000/100000</f>
        <v>268.66000000000003</v>
      </c>
      <c r="G871" s="60">
        <v>0</v>
      </c>
      <c r="H871" s="49"/>
      <c r="I871" s="39"/>
      <c r="J871" s="39"/>
    </row>
    <row r="872" spans="1:14" ht="35.25" customHeight="1" x14ac:dyDescent="0.25">
      <c r="A872" s="175"/>
      <c r="B872" s="175"/>
      <c r="C872" s="185" t="s">
        <v>237</v>
      </c>
      <c r="D872" s="186"/>
      <c r="E872" s="57">
        <v>0</v>
      </c>
      <c r="F872" s="174">
        <f>4880400/100000</f>
        <v>48.804000000000002</v>
      </c>
      <c r="G872" s="60">
        <v>7.5</v>
      </c>
      <c r="H872" s="61"/>
    </row>
    <row r="873" spans="1:14" ht="22.5" customHeight="1" x14ac:dyDescent="0.25">
      <c r="A873" s="175"/>
      <c r="B873" s="175"/>
      <c r="C873" s="185" t="s">
        <v>419</v>
      </c>
      <c r="D873" s="186"/>
      <c r="E873" s="57">
        <v>0</v>
      </c>
      <c r="F873" s="47">
        <f>2100000/100000</f>
        <v>21</v>
      </c>
      <c r="G873" s="48">
        <v>0</v>
      </c>
      <c r="H873" s="49"/>
    </row>
    <row r="874" spans="1:14" ht="27" customHeight="1" x14ac:dyDescent="0.25">
      <c r="A874" s="175"/>
      <c r="B874" s="175"/>
      <c r="C874" s="185" t="s">
        <v>258</v>
      </c>
      <c r="D874" s="186"/>
      <c r="E874" s="57">
        <v>0</v>
      </c>
      <c r="F874" s="47">
        <f>18306972/100000</f>
        <v>183.06971999999999</v>
      </c>
      <c r="G874" s="48">
        <v>0</v>
      </c>
      <c r="H874" s="49"/>
    </row>
    <row r="875" spans="1:14" ht="24" customHeight="1" x14ac:dyDescent="0.25">
      <c r="A875" s="196" t="s">
        <v>420</v>
      </c>
      <c r="B875" s="186"/>
      <c r="C875" s="175" t="s">
        <v>421</v>
      </c>
      <c r="D875" s="211"/>
      <c r="E875" s="57">
        <v>0</v>
      </c>
      <c r="F875" s="93">
        <f>461500000/100000</f>
        <v>4615</v>
      </c>
      <c r="G875" s="54">
        <v>5082</v>
      </c>
      <c r="H875" s="49"/>
    </row>
    <row r="876" spans="1:14" ht="24" customHeight="1" x14ac:dyDescent="0.25">
      <c r="A876" s="196" t="s">
        <v>240</v>
      </c>
      <c r="B876" s="186"/>
      <c r="C876" s="185" t="s">
        <v>467</v>
      </c>
      <c r="D876" s="186"/>
      <c r="E876" s="57">
        <v>0</v>
      </c>
      <c r="F876" s="93">
        <f>64180000/100000</f>
        <v>641.79999999999995</v>
      </c>
      <c r="G876" s="60">
        <v>0</v>
      </c>
      <c r="H876" s="49"/>
      <c r="I876" s="58"/>
      <c r="J876" s="58"/>
    </row>
    <row r="877" spans="1:14" ht="38.25" customHeight="1" x14ac:dyDescent="0.25">
      <c r="A877" s="185" t="s">
        <v>505</v>
      </c>
      <c r="B877" s="185"/>
      <c r="C877" s="175" t="s">
        <v>467</v>
      </c>
      <c r="D877" s="175"/>
      <c r="E877" s="57">
        <v>0</v>
      </c>
      <c r="F877" s="93">
        <v>0</v>
      </c>
      <c r="G877" s="60">
        <v>19.309999999999999</v>
      </c>
      <c r="H877" s="61">
        <f>E868+E869+E870+E871+E872+E873+E874+E875+E876+E877</f>
        <v>0</v>
      </c>
      <c r="I877" s="56">
        <f>F868+F869+F870+F871+F872+F873+F874+F875+F876+F877</f>
        <v>6085.1123600000001</v>
      </c>
      <c r="J877" s="56">
        <f>G868+G869+G870+G871+G872+G873+G874+G875+G876+G877</f>
        <v>5139.4000000000005</v>
      </c>
    </row>
    <row r="878" spans="1:14" ht="17.649999999999999" customHeight="1" x14ac:dyDescent="0.25">
      <c r="A878" s="113"/>
      <c r="B878" s="113"/>
      <c r="C878" s="112"/>
      <c r="D878" s="112"/>
      <c r="E878" s="112"/>
      <c r="F878" s="149"/>
      <c r="G878" s="61"/>
      <c r="H878" s="61"/>
    </row>
    <row r="879" spans="1:14" ht="28.5" customHeight="1" x14ac:dyDescent="0.25">
      <c r="A879" s="187" t="s">
        <v>678</v>
      </c>
      <c r="B879" s="187"/>
      <c r="C879" s="187"/>
      <c r="D879" s="187"/>
      <c r="E879" s="187"/>
      <c r="F879" s="187"/>
      <c r="G879" s="187"/>
      <c r="H879" s="166"/>
      <c r="I879" s="42"/>
      <c r="J879" s="42"/>
      <c r="K879" s="42"/>
      <c r="L879" s="42"/>
      <c r="M879" s="42"/>
      <c r="N879" s="42"/>
    </row>
    <row r="880" spans="1:14" x14ac:dyDescent="0.25">
      <c r="A880" s="187" t="s">
        <v>53</v>
      </c>
      <c r="B880" s="187"/>
      <c r="C880" s="187"/>
      <c r="D880" s="187"/>
      <c r="E880" s="187"/>
      <c r="F880" s="187"/>
      <c r="G880" s="187"/>
      <c r="H880" s="166"/>
      <c r="I880" s="42"/>
      <c r="J880" s="42"/>
      <c r="K880" s="42"/>
      <c r="L880" s="42"/>
    </row>
    <row r="881" spans="1:14" x14ac:dyDescent="0.25">
      <c r="A881" s="188" t="s">
        <v>54</v>
      </c>
      <c r="B881" s="188"/>
      <c r="C881" s="188"/>
      <c r="D881" s="188"/>
      <c r="E881" s="188"/>
      <c r="F881" s="188"/>
      <c r="G881" s="188"/>
      <c r="H881" s="168"/>
      <c r="I881" s="44"/>
      <c r="J881" s="44"/>
      <c r="K881" s="44"/>
      <c r="L881" s="44"/>
    </row>
    <row r="882" spans="1:14" x14ac:dyDescent="0.25">
      <c r="A882" s="44"/>
      <c r="B882" s="44"/>
      <c r="C882" s="44"/>
      <c r="D882" s="44"/>
      <c r="E882" s="44"/>
      <c r="G882" s="44"/>
      <c r="H882" s="44"/>
      <c r="I882" s="168"/>
      <c r="J882" s="168"/>
      <c r="K882" s="168"/>
      <c r="L882" s="168"/>
    </row>
    <row r="883" spans="1:14" x14ac:dyDescent="0.25">
      <c r="A883" s="189" t="s">
        <v>588</v>
      </c>
      <c r="B883" s="178"/>
      <c r="C883" s="190" t="s">
        <v>72</v>
      </c>
      <c r="D883" s="190"/>
      <c r="E883" s="190"/>
      <c r="F883" s="190"/>
      <c r="G883" s="191"/>
      <c r="H883" s="173"/>
      <c r="I883" s="168"/>
      <c r="J883" s="168"/>
      <c r="K883" s="168"/>
      <c r="L883" s="44"/>
      <c r="M883" s="44"/>
      <c r="N883" s="168"/>
    </row>
    <row r="884" spans="1:14" x14ac:dyDescent="0.25">
      <c r="A884" s="176" t="s">
        <v>70</v>
      </c>
      <c r="B884" s="177"/>
      <c r="C884" s="176" t="s">
        <v>51</v>
      </c>
      <c r="D884" s="184"/>
      <c r="E884" s="178" t="s">
        <v>99</v>
      </c>
      <c r="F884" s="178"/>
      <c r="G884" s="179"/>
      <c r="H884" s="166"/>
      <c r="I884" s="168"/>
      <c r="J884" s="168"/>
      <c r="K884" s="168"/>
      <c r="L884" s="44"/>
      <c r="M884" s="44"/>
      <c r="N884" s="168"/>
    </row>
    <row r="885" spans="1:14" x14ac:dyDescent="0.25">
      <c r="A885" s="180"/>
      <c r="B885" s="181"/>
      <c r="C885" s="180"/>
      <c r="D885" s="181"/>
      <c r="E885" s="164" t="s">
        <v>597</v>
      </c>
      <c r="F885" s="165" t="s">
        <v>57</v>
      </c>
      <c r="G885" s="165" t="s">
        <v>55</v>
      </c>
      <c r="H885" s="166"/>
      <c r="I885" s="168"/>
      <c r="J885" s="168"/>
      <c r="K885" s="168"/>
      <c r="L885" s="44"/>
      <c r="M885" s="44"/>
      <c r="N885" s="168"/>
    </row>
    <row r="886" spans="1:14" ht="23.25" customHeight="1" x14ac:dyDescent="0.25">
      <c r="A886" s="175" t="s">
        <v>522</v>
      </c>
      <c r="B886" s="175"/>
      <c r="C886" s="182" t="s">
        <v>88</v>
      </c>
      <c r="D886" s="183"/>
      <c r="E886" s="57">
        <v>0</v>
      </c>
      <c r="F886" s="93">
        <v>0</v>
      </c>
      <c r="G886" s="60">
        <v>300</v>
      </c>
      <c r="H886" s="61"/>
    </row>
    <row r="887" spans="1:14" ht="18" customHeight="1" x14ac:dyDescent="0.25">
      <c r="A887" s="175" t="s">
        <v>582</v>
      </c>
      <c r="B887" s="175"/>
      <c r="C887" s="185" t="s">
        <v>583</v>
      </c>
      <c r="D887" s="185"/>
      <c r="E887" s="57">
        <v>0</v>
      </c>
      <c r="F887" s="93">
        <v>0</v>
      </c>
      <c r="G887" s="83">
        <v>17.45</v>
      </c>
    </row>
    <row r="888" spans="1:14" ht="16.5" customHeight="1" x14ac:dyDescent="0.25">
      <c r="A888" s="175"/>
      <c r="B888" s="175"/>
      <c r="C888" s="185" t="s">
        <v>1</v>
      </c>
      <c r="D888" s="185"/>
      <c r="E888" s="57">
        <v>0</v>
      </c>
      <c r="F888" s="93">
        <v>0</v>
      </c>
      <c r="G888" s="83">
        <v>24.93</v>
      </c>
    </row>
    <row r="889" spans="1:14" ht="17.25" customHeight="1" x14ac:dyDescent="0.25">
      <c r="A889" s="175"/>
      <c r="B889" s="175"/>
      <c r="C889" s="185" t="s">
        <v>584</v>
      </c>
      <c r="D889" s="185"/>
      <c r="E889" s="57">
        <v>0</v>
      </c>
      <c r="F889" s="93">
        <v>0</v>
      </c>
      <c r="G889" s="83">
        <v>28.88</v>
      </c>
      <c r="H889" s="39"/>
      <c r="I889" s="58"/>
      <c r="J889" s="39"/>
    </row>
    <row r="890" spans="1:14" ht="21" customHeight="1" x14ac:dyDescent="0.25">
      <c r="A890" s="175"/>
      <c r="B890" s="175"/>
      <c r="C890" s="185" t="s">
        <v>585</v>
      </c>
      <c r="D890" s="185"/>
      <c r="E890" s="50">
        <v>0</v>
      </c>
      <c r="F890" s="93">
        <v>0</v>
      </c>
      <c r="G890" s="83">
        <v>24.1</v>
      </c>
    </row>
    <row r="891" spans="1:14" ht="21" customHeight="1" x14ac:dyDescent="0.25">
      <c r="A891" s="175"/>
      <c r="B891" s="175"/>
      <c r="C891" s="185" t="s">
        <v>501</v>
      </c>
      <c r="D891" s="185"/>
      <c r="E891" s="50">
        <v>0</v>
      </c>
      <c r="F891" s="93">
        <v>0</v>
      </c>
      <c r="G891" s="83">
        <v>19.43</v>
      </c>
    </row>
    <row r="892" spans="1:14" ht="21" customHeight="1" x14ac:dyDescent="0.25">
      <c r="A892" s="175"/>
      <c r="B892" s="175"/>
      <c r="C892" s="185" t="s">
        <v>15</v>
      </c>
      <c r="D892" s="185"/>
      <c r="E892" s="50">
        <v>0</v>
      </c>
      <c r="F892" s="93">
        <v>0</v>
      </c>
      <c r="G892" s="83">
        <v>28.81</v>
      </c>
    </row>
    <row r="893" spans="1:14" ht="21" customHeight="1" x14ac:dyDescent="0.25">
      <c r="A893" s="175"/>
      <c r="B893" s="175"/>
      <c r="C893" s="185" t="s">
        <v>16</v>
      </c>
      <c r="D893" s="185"/>
      <c r="E893" s="50">
        <v>0</v>
      </c>
      <c r="F893" s="93">
        <v>0</v>
      </c>
      <c r="G893" s="83">
        <v>27.02</v>
      </c>
    </row>
    <row r="894" spans="1:14" ht="31.5" customHeight="1" x14ac:dyDescent="0.25">
      <c r="A894" s="175"/>
      <c r="B894" s="175"/>
      <c r="C894" s="185" t="s">
        <v>17</v>
      </c>
      <c r="D894" s="185"/>
      <c r="E894" s="37">
        <v>0</v>
      </c>
      <c r="F894" s="93">
        <v>0</v>
      </c>
      <c r="G894" s="93">
        <v>29.41</v>
      </c>
    </row>
    <row r="895" spans="1:14" ht="19.5" customHeight="1" x14ac:dyDescent="0.25">
      <c r="A895" s="175"/>
      <c r="B895" s="175"/>
      <c r="C895" s="185" t="s">
        <v>18</v>
      </c>
      <c r="D895" s="185"/>
      <c r="E895" s="50">
        <v>0</v>
      </c>
      <c r="F895" s="93">
        <v>0</v>
      </c>
      <c r="G895" s="83">
        <v>29.41</v>
      </c>
    </row>
    <row r="896" spans="1:14" ht="19.5" customHeight="1" x14ac:dyDescent="0.25">
      <c r="A896" s="175"/>
      <c r="B896" s="175"/>
      <c r="C896" s="185" t="s">
        <v>19</v>
      </c>
      <c r="D896" s="185"/>
      <c r="E896" s="50">
        <v>0</v>
      </c>
      <c r="F896" s="93">
        <v>0</v>
      </c>
      <c r="G896" s="83">
        <v>38.86</v>
      </c>
    </row>
    <row r="897" spans="1:14" ht="19.5" customHeight="1" x14ac:dyDescent="0.25">
      <c r="A897" s="175"/>
      <c r="B897" s="175"/>
      <c r="C897" s="185" t="s">
        <v>20</v>
      </c>
      <c r="D897" s="185"/>
      <c r="E897" s="50">
        <v>0</v>
      </c>
      <c r="F897" s="93">
        <v>0</v>
      </c>
      <c r="G897" s="83">
        <v>28.88</v>
      </c>
    </row>
    <row r="898" spans="1:14" ht="19.5" customHeight="1" x14ac:dyDescent="0.25">
      <c r="A898" s="175"/>
      <c r="B898" s="175"/>
      <c r="C898" s="185" t="s">
        <v>21</v>
      </c>
      <c r="D898" s="185"/>
      <c r="E898" s="50">
        <v>0</v>
      </c>
      <c r="F898" s="93">
        <v>0</v>
      </c>
      <c r="G898" s="83">
        <v>76.22</v>
      </c>
    </row>
    <row r="899" spans="1:14" ht="19.5" customHeight="1" x14ac:dyDescent="0.25">
      <c r="A899" s="175"/>
      <c r="B899" s="175"/>
      <c r="C899" s="185" t="s">
        <v>22</v>
      </c>
      <c r="D899" s="185"/>
      <c r="E899" s="50">
        <v>0</v>
      </c>
      <c r="F899" s="93">
        <v>0</v>
      </c>
      <c r="G899" s="83">
        <v>33.630000000000003</v>
      </c>
    </row>
    <row r="900" spans="1:14" ht="19.5" customHeight="1" x14ac:dyDescent="0.25">
      <c r="A900" s="175"/>
      <c r="B900" s="175"/>
      <c r="C900" s="185" t="s">
        <v>23</v>
      </c>
      <c r="D900" s="185"/>
      <c r="E900" s="50">
        <v>0</v>
      </c>
      <c r="F900" s="93">
        <v>0</v>
      </c>
      <c r="G900" s="83">
        <v>28.88</v>
      </c>
    </row>
    <row r="901" spans="1:14" ht="19.5" customHeight="1" x14ac:dyDescent="0.25">
      <c r="A901" s="175"/>
      <c r="B901" s="175"/>
      <c r="C901" s="185" t="s">
        <v>502</v>
      </c>
      <c r="D901" s="185"/>
      <c r="E901" s="50">
        <v>0</v>
      </c>
      <c r="F901" s="93">
        <v>0</v>
      </c>
      <c r="G901" s="83">
        <v>19.43</v>
      </c>
    </row>
    <row r="902" spans="1:14" ht="22.5" customHeight="1" x14ac:dyDescent="0.25">
      <c r="A902" s="175"/>
      <c r="B902" s="175"/>
      <c r="C902" s="185" t="s">
        <v>24</v>
      </c>
      <c r="D902" s="185"/>
      <c r="E902" s="50">
        <v>0</v>
      </c>
      <c r="F902" s="93">
        <v>0</v>
      </c>
      <c r="G902" s="83">
        <v>46.51</v>
      </c>
    </row>
    <row r="903" spans="1:14" ht="19.5" customHeight="1" x14ac:dyDescent="0.25">
      <c r="A903" s="175"/>
      <c r="B903" s="175"/>
      <c r="C903" s="185" t="s">
        <v>586</v>
      </c>
      <c r="D903" s="185"/>
      <c r="E903" s="50">
        <v>0</v>
      </c>
      <c r="F903" s="93">
        <v>0</v>
      </c>
      <c r="G903" s="83">
        <v>19.43</v>
      </c>
      <c r="H903" s="39">
        <v>0</v>
      </c>
      <c r="I903" s="75">
        <f>F886+F887+F888+F889+F890+F891+F892+F893+F894+F895+F896+F897+F898+F899+F900+F901+F902+F903</f>
        <v>0</v>
      </c>
      <c r="J903" s="58">
        <f>G886+G887+G888+G889+G890+G891+G892+G893+G894+G895+G896+G897+G898+G899+G900+G901+G902+G903</f>
        <v>821.28</v>
      </c>
    </row>
    <row r="904" spans="1:14" ht="28.5" customHeight="1" x14ac:dyDescent="0.25">
      <c r="A904" s="187" t="s">
        <v>679</v>
      </c>
      <c r="B904" s="187"/>
      <c r="C904" s="187"/>
      <c r="D904" s="187"/>
      <c r="E904" s="187"/>
      <c r="F904" s="187"/>
      <c r="G904" s="187"/>
      <c r="H904" s="166"/>
      <c r="I904" s="42"/>
      <c r="J904" s="42"/>
      <c r="K904" s="42"/>
      <c r="L904" s="42"/>
      <c r="M904" s="42"/>
      <c r="N904" s="42"/>
    </row>
    <row r="905" spans="1:14" x14ac:dyDescent="0.25">
      <c r="A905" s="187" t="s">
        <v>53</v>
      </c>
      <c r="B905" s="187"/>
      <c r="C905" s="187"/>
      <c r="D905" s="187"/>
      <c r="E905" s="187"/>
      <c r="F905" s="187"/>
      <c r="G905" s="187"/>
      <c r="H905" s="166"/>
      <c r="I905" s="42"/>
      <c r="J905" s="42"/>
      <c r="K905" s="42"/>
      <c r="L905" s="42"/>
    </row>
    <row r="906" spans="1:14" x14ac:dyDescent="0.25">
      <c r="A906" s="188" t="s">
        <v>54</v>
      </c>
      <c r="B906" s="188"/>
      <c r="C906" s="188"/>
      <c r="D906" s="188"/>
      <c r="E906" s="188"/>
      <c r="F906" s="188"/>
      <c r="G906" s="188"/>
      <c r="H906" s="168"/>
      <c r="I906" s="44"/>
      <c r="J906" s="44"/>
      <c r="K906" s="44"/>
      <c r="L906" s="44"/>
    </row>
    <row r="907" spans="1:14" x14ac:dyDescent="0.25">
      <c r="A907" s="44"/>
      <c r="B907" s="44"/>
      <c r="C907" s="44"/>
      <c r="D907" s="44"/>
      <c r="E907" s="44"/>
      <c r="G907" s="44"/>
      <c r="H907" s="44"/>
      <c r="I907" s="168"/>
      <c r="J907" s="168"/>
      <c r="K907" s="168"/>
      <c r="L907" s="168"/>
    </row>
    <row r="908" spans="1:14" x14ac:dyDescent="0.25">
      <c r="A908" s="189" t="s">
        <v>588</v>
      </c>
      <c r="B908" s="178"/>
      <c r="C908" s="190" t="s">
        <v>72</v>
      </c>
      <c r="D908" s="190"/>
      <c r="E908" s="190"/>
      <c r="F908" s="190"/>
      <c r="G908" s="191"/>
      <c r="H908" s="173"/>
      <c r="I908" s="168"/>
      <c r="J908" s="168"/>
      <c r="K908" s="168"/>
      <c r="L908" s="44"/>
      <c r="M908" s="44"/>
      <c r="N908" s="168"/>
    </row>
    <row r="909" spans="1:14" x14ac:dyDescent="0.25">
      <c r="A909" s="176" t="s">
        <v>70</v>
      </c>
      <c r="B909" s="177"/>
      <c r="C909" s="176" t="s">
        <v>51</v>
      </c>
      <c r="D909" s="184"/>
      <c r="E909" s="178" t="s">
        <v>99</v>
      </c>
      <c r="F909" s="178"/>
      <c r="G909" s="179"/>
      <c r="H909" s="166"/>
      <c r="I909" s="168"/>
      <c r="J909" s="168"/>
      <c r="K909" s="168"/>
      <c r="L909" s="44"/>
      <c r="M909" s="44"/>
      <c r="N909" s="168"/>
    </row>
    <row r="910" spans="1:14" x14ac:dyDescent="0.25">
      <c r="A910" s="180"/>
      <c r="B910" s="181"/>
      <c r="C910" s="180"/>
      <c r="D910" s="181"/>
      <c r="E910" s="164" t="s">
        <v>597</v>
      </c>
      <c r="F910" s="165" t="s">
        <v>57</v>
      </c>
      <c r="G910" s="165" t="s">
        <v>55</v>
      </c>
      <c r="H910" s="166"/>
      <c r="I910" s="168"/>
      <c r="J910" s="168"/>
      <c r="K910" s="168"/>
      <c r="L910" s="44"/>
      <c r="M910" s="44"/>
      <c r="N910" s="168"/>
    </row>
    <row r="911" spans="1:14" ht="19.5" customHeight="1" x14ac:dyDescent="0.25">
      <c r="A911" s="175" t="s">
        <v>582</v>
      </c>
      <c r="B911" s="175"/>
      <c r="C911" s="185" t="s">
        <v>2</v>
      </c>
      <c r="D911" s="185"/>
      <c r="E911" s="50">
        <v>0</v>
      </c>
      <c r="F911" s="93">
        <v>0</v>
      </c>
      <c r="G911" s="83">
        <v>10.37</v>
      </c>
    </row>
    <row r="912" spans="1:14" ht="19.5" customHeight="1" x14ac:dyDescent="0.25">
      <c r="A912" s="175"/>
      <c r="B912" s="175"/>
      <c r="C912" s="185" t="s">
        <v>503</v>
      </c>
      <c r="D912" s="185"/>
      <c r="E912" s="50">
        <v>0</v>
      </c>
      <c r="F912" s="93">
        <v>0</v>
      </c>
      <c r="G912" s="83">
        <v>10.37</v>
      </c>
    </row>
    <row r="913" spans="1:10" ht="19.5" customHeight="1" x14ac:dyDescent="0.25">
      <c r="A913" s="175"/>
      <c r="B913" s="175"/>
      <c r="C913" s="185" t="s">
        <v>504</v>
      </c>
      <c r="D913" s="185"/>
      <c r="E913" s="50">
        <v>0</v>
      </c>
      <c r="F913" s="93">
        <v>0</v>
      </c>
      <c r="G913" s="63">
        <v>54.04</v>
      </c>
    </row>
    <row r="914" spans="1:10" ht="19.5" customHeight="1" x14ac:dyDescent="0.25">
      <c r="A914" s="175"/>
      <c r="B914" s="175"/>
      <c r="C914" s="185" t="s">
        <v>89</v>
      </c>
      <c r="D914" s="185"/>
      <c r="E914" s="50">
        <v>0</v>
      </c>
      <c r="F914" s="93">
        <v>0</v>
      </c>
      <c r="G914" s="63">
        <v>25.83</v>
      </c>
      <c r="H914" s="75"/>
      <c r="I914" s="58"/>
      <c r="J914" s="58"/>
    </row>
    <row r="915" spans="1:10" ht="21.75" customHeight="1" x14ac:dyDescent="0.25">
      <c r="A915" s="175"/>
      <c r="B915" s="175"/>
      <c r="C915" s="185" t="s">
        <v>25</v>
      </c>
      <c r="D915" s="185"/>
      <c r="E915" s="50">
        <v>0</v>
      </c>
      <c r="F915" s="150">
        <v>0</v>
      </c>
      <c r="G915" s="83">
        <v>19.43</v>
      </c>
    </row>
    <row r="916" spans="1:10" ht="21.75" customHeight="1" x14ac:dyDescent="0.25">
      <c r="A916" s="175"/>
      <c r="B916" s="175"/>
      <c r="C916" s="185" t="s">
        <v>3</v>
      </c>
      <c r="D916" s="185"/>
      <c r="E916" s="50">
        <v>0</v>
      </c>
      <c r="F916" s="150">
        <v>0</v>
      </c>
      <c r="G916" s="83">
        <v>48.6</v>
      </c>
    </row>
    <row r="917" spans="1:10" ht="21.75" customHeight="1" x14ac:dyDescent="0.25">
      <c r="A917" s="175"/>
      <c r="B917" s="175"/>
      <c r="C917" s="185" t="s">
        <v>13</v>
      </c>
      <c r="D917" s="185"/>
      <c r="E917" s="50">
        <v>0</v>
      </c>
      <c r="F917" s="150">
        <v>0</v>
      </c>
      <c r="G917" s="83">
        <v>28.88</v>
      </c>
    </row>
    <row r="918" spans="1:10" ht="15" customHeight="1" x14ac:dyDescent="0.25">
      <c r="A918" s="175"/>
      <c r="B918" s="175"/>
      <c r="C918" s="185" t="s">
        <v>587</v>
      </c>
      <c r="D918" s="185"/>
      <c r="E918" s="50">
        <v>0</v>
      </c>
      <c r="F918" s="150">
        <v>0</v>
      </c>
      <c r="G918" s="83">
        <v>27.32</v>
      </c>
    </row>
    <row r="919" spans="1:10" ht="15" customHeight="1" x14ac:dyDescent="0.25">
      <c r="A919" s="175"/>
      <c r="B919" s="175"/>
      <c r="C919" s="185" t="s">
        <v>14</v>
      </c>
      <c r="D919" s="185"/>
      <c r="E919" s="50">
        <v>0</v>
      </c>
      <c r="F919" s="150">
        <v>0</v>
      </c>
      <c r="G919" s="83">
        <v>28.51</v>
      </c>
    </row>
    <row r="920" spans="1:10" ht="15" customHeight="1" x14ac:dyDescent="0.25">
      <c r="A920" s="175"/>
      <c r="B920" s="175"/>
      <c r="C920" s="185" t="s">
        <v>26</v>
      </c>
      <c r="D920" s="185"/>
      <c r="E920" s="50">
        <v>0</v>
      </c>
      <c r="F920" s="150">
        <v>0</v>
      </c>
      <c r="G920" s="83">
        <v>32.299999999999997</v>
      </c>
    </row>
    <row r="921" spans="1:10" ht="17.25" customHeight="1" x14ac:dyDescent="0.25">
      <c r="A921" s="175"/>
      <c r="B921" s="175"/>
      <c r="C921" s="185" t="s">
        <v>27</v>
      </c>
      <c r="D921" s="185"/>
      <c r="E921" s="50">
        <v>0</v>
      </c>
      <c r="F921" s="150">
        <v>0</v>
      </c>
      <c r="G921" s="83">
        <v>217.29</v>
      </c>
    </row>
    <row r="922" spans="1:10" ht="15.75" customHeight="1" x14ac:dyDescent="0.25">
      <c r="A922" s="175"/>
      <c r="B922" s="175"/>
      <c r="C922" s="185" t="s">
        <v>28</v>
      </c>
      <c r="D922" s="185"/>
      <c r="E922" s="50">
        <v>0</v>
      </c>
      <c r="F922" s="150">
        <v>0</v>
      </c>
      <c r="G922" s="83">
        <v>27.91</v>
      </c>
    </row>
    <row r="923" spans="1:10" ht="18.75" customHeight="1" x14ac:dyDescent="0.25">
      <c r="A923" s="209"/>
      <c r="B923" s="209"/>
      <c r="C923" s="210" t="s">
        <v>422</v>
      </c>
      <c r="D923" s="210"/>
      <c r="E923" s="151">
        <f>0+449.89+754.81+1784.23+1656.08+0+0+6.64+925.28+151.67+203.44+134.88+73.53+44.91+50.25+60.84+232.66+70.1+0+42.7+16+0+0+27220.23+5345.66+0+0+0+0+0+0</f>
        <v>39223.800000000003</v>
      </c>
      <c r="F923" s="152">
        <v>44272.06</v>
      </c>
      <c r="G923" s="41">
        <f>J201+J223+J245+J267+J291+J314+J338+J363+J389+J415+J439+J464+J488+J515+J541+J568+J595+J622+J649+J674+J701+J728+J755+J777+J799+J818+J839+J860+J877+J903+J923</f>
        <v>47431.7</v>
      </c>
      <c r="H923" s="48">
        <v>0</v>
      </c>
      <c r="I923" s="153">
        <f>F911+F912+F913+F914+F915+F916+F917+F918+F919+F920+F921+F922</f>
        <v>0</v>
      </c>
      <c r="J923" s="153">
        <f>G911+G912+G913+G914+G915+G916+G917+G918+G919+G920+G921+G922</f>
        <v>530.84999999999991</v>
      </c>
    </row>
    <row r="924" spans="1:10" ht="16.5" customHeight="1" x14ac:dyDescent="0.25">
      <c r="A924" s="209"/>
      <c r="B924" s="209"/>
      <c r="C924" s="210" t="s">
        <v>423</v>
      </c>
      <c r="D924" s="210"/>
      <c r="E924" s="154">
        <f>E923+E174</f>
        <v>74945.430000000008</v>
      </c>
      <c r="F924" s="155">
        <f>F923+F174</f>
        <v>102535.91</v>
      </c>
      <c r="G924" s="155">
        <f>G923+G174</f>
        <v>58072.369999999995</v>
      </c>
      <c r="H924" s="49"/>
      <c r="I924" s="156"/>
    </row>
    <row r="925" spans="1:10" x14ac:dyDescent="0.25">
      <c r="E925" s="157"/>
      <c r="F925" s="158"/>
      <c r="G925" s="49"/>
      <c r="I925" s="39"/>
      <c r="J925" s="39" t="s">
        <v>668</v>
      </c>
    </row>
    <row r="926" spans="1:10" x14ac:dyDescent="0.25">
      <c r="E926" s="159"/>
      <c r="F926" s="160"/>
      <c r="G926" s="161"/>
    </row>
    <row r="927" spans="1:10" x14ac:dyDescent="0.25">
      <c r="A927" s="39"/>
      <c r="D927" s="195"/>
      <c r="E927" s="195"/>
      <c r="F927" s="195"/>
      <c r="G927" s="49"/>
      <c r="H927" s="43">
        <f>0.11/2</f>
        <v>5.5E-2</v>
      </c>
      <c r="I927" s="43">
        <f>39225.38-39223.8</f>
        <v>1.5799999999944703</v>
      </c>
    </row>
    <row r="928" spans="1:10" x14ac:dyDescent="0.25">
      <c r="A928" s="39"/>
      <c r="B928" s="162"/>
      <c r="C928" s="163"/>
      <c r="D928" s="195"/>
      <c r="E928" s="195"/>
      <c r="F928" s="195"/>
      <c r="G928" s="58"/>
      <c r="H928" s="58"/>
    </row>
    <row r="929" spans="1:8" x14ac:dyDescent="0.25">
      <c r="A929" s="39"/>
      <c r="C929" s="39"/>
    </row>
    <row r="930" spans="1:8" x14ac:dyDescent="0.25">
      <c r="H930" s="43" t="s">
        <v>581</v>
      </c>
    </row>
  </sheetData>
  <mergeCells count="1175">
    <mergeCell ref="A167:B167"/>
    <mergeCell ref="C168:D168"/>
    <mergeCell ref="A154:G154"/>
    <mergeCell ref="A156:B156"/>
    <mergeCell ref="C156:G156"/>
    <mergeCell ref="A157:B157"/>
    <mergeCell ref="C125:D125"/>
    <mergeCell ref="C136:D136"/>
    <mergeCell ref="A153:G153"/>
    <mergeCell ref="C146:D146"/>
    <mergeCell ref="C186:D186"/>
    <mergeCell ref="C240:D240"/>
    <mergeCell ref="A225:G225"/>
    <mergeCell ref="A220:B220"/>
    <mergeCell ref="E230:G230"/>
    <mergeCell ref="C179:G179"/>
    <mergeCell ref="A125:B125"/>
    <mergeCell ref="A136:B136"/>
    <mergeCell ref="C113:D113"/>
    <mergeCell ref="A164:B164"/>
    <mergeCell ref="C120:D120"/>
    <mergeCell ref="C121:D121"/>
    <mergeCell ref="C122:D122"/>
    <mergeCell ref="C163:D163"/>
    <mergeCell ref="A58:B58"/>
    <mergeCell ref="C58:D58"/>
    <mergeCell ref="E58:G58"/>
    <mergeCell ref="A59:B59"/>
    <mergeCell ref="C59:D59"/>
    <mergeCell ref="A60:B69"/>
    <mergeCell ref="A70:B78"/>
    <mergeCell ref="A80:G80"/>
    <mergeCell ref="A84:B84"/>
    <mergeCell ref="C102:D102"/>
    <mergeCell ref="C100:D100"/>
    <mergeCell ref="C101:D101"/>
    <mergeCell ref="C170:D170"/>
    <mergeCell ref="A181:B181"/>
    <mergeCell ref="C181:D181"/>
    <mergeCell ref="C118:D118"/>
    <mergeCell ref="C147:D147"/>
    <mergeCell ref="C189:D189"/>
    <mergeCell ref="A137:B137"/>
    <mergeCell ref="C182:D182"/>
    <mergeCell ref="C183:D183"/>
    <mergeCell ref="A170:B170"/>
    <mergeCell ref="C188:D188"/>
    <mergeCell ref="C116:D116"/>
    <mergeCell ref="C117:D117"/>
    <mergeCell ref="C114:D114"/>
    <mergeCell ref="C115:D115"/>
    <mergeCell ref="A86:B86"/>
    <mergeCell ref="C74:D74"/>
    <mergeCell ref="A105:G105"/>
    <mergeCell ref="A106:G106"/>
    <mergeCell ref="A107:G107"/>
    <mergeCell ref="A109:B109"/>
    <mergeCell ref="C109:G109"/>
    <mergeCell ref="A110:B110"/>
    <mergeCell ref="C93:D93"/>
    <mergeCell ref="C94:D94"/>
    <mergeCell ref="C96:D96"/>
    <mergeCell ref="C97:D97"/>
    <mergeCell ref="C95:D95"/>
    <mergeCell ref="C92:D92"/>
    <mergeCell ref="C160:D160"/>
    <mergeCell ref="C161:D161"/>
    <mergeCell ref="A180:B180"/>
    <mergeCell ref="A126:B127"/>
    <mergeCell ref="A27:G27"/>
    <mergeCell ref="A28:G28"/>
    <mergeCell ref="A29:G29"/>
    <mergeCell ref="A31:B31"/>
    <mergeCell ref="C31:G31"/>
    <mergeCell ref="A32:B32"/>
    <mergeCell ref="C32:D32"/>
    <mergeCell ref="E32:G32"/>
    <mergeCell ref="A33:B33"/>
    <mergeCell ref="C33:D33"/>
    <mergeCell ref="A39:B52"/>
    <mergeCell ref="A53:G53"/>
    <mergeCell ref="A54:G54"/>
    <mergeCell ref="A55:G55"/>
    <mergeCell ref="A256:B263"/>
    <mergeCell ref="C110:D110"/>
    <mergeCell ref="E110:G110"/>
    <mergeCell ref="A111:B111"/>
    <mergeCell ref="C111:D111"/>
    <mergeCell ref="A112:B124"/>
    <mergeCell ref="A128:G128"/>
    <mergeCell ref="A129:G129"/>
    <mergeCell ref="A130:G130"/>
    <mergeCell ref="A132:B132"/>
    <mergeCell ref="C132:G132"/>
    <mergeCell ref="A133:B133"/>
    <mergeCell ref="C133:D133"/>
    <mergeCell ref="E133:G133"/>
    <mergeCell ref="A134:B134"/>
    <mergeCell ref="C134:D134"/>
    <mergeCell ref="A148:B151"/>
    <mergeCell ref="A466:G466"/>
    <mergeCell ref="C376:D376"/>
    <mergeCell ref="C629:D629"/>
    <mergeCell ref="A520:B520"/>
    <mergeCell ref="C520:G520"/>
    <mergeCell ref="A521:B521"/>
    <mergeCell ref="C631:D631"/>
    <mergeCell ref="C450:D450"/>
    <mergeCell ref="C325:D325"/>
    <mergeCell ref="C336:D336"/>
    <mergeCell ref="C346:D346"/>
    <mergeCell ref="A349:B349"/>
    <mergeCell ref="A600:B600"/>
    <mergeCell ref="C600:G600"/>
    <mergeCell ref="A601:B601"/>
    <mergeCell ref="C601:D601"/>
    <mergeCell ref="E601:G601"/>
    <mergeCell ref="A335:B338"/>
    <mergeCell ref="C564:D564"/>
    <mergeCell ref="C565:D565"/>
    <mergeCell ref="A756:G756"/>
    <mergeCell ref="A757:G757"/>
    <mergeCell ref="A758:G758"/>
    <mergeCell ref="A760:B760"/>
    <mergeCell ref="C760:G760"/>
    <mergeCell ref="A729:G729"/>
    <mergeCell ref="C620:D620"/>
    <mergeCell ref="A654:B654"/>
    <mergeCell ref="C359:D359"/>
    <mergeCell ref="C360:D360"/>
    <mergeCell ref="C614:D614"/>
    <mergeCell ref="C501:D501"/>
    <mergeCell ref="C503:D503"/>
    <mergeCell ref="E547:G547"/>
    <mergeCell ref="A548:B548"/>
    <mergeCell ref="C548:D548"/>
    <mergeCell ref="C663:D663"/>
    <mergeCell ref="C613:D613"/>
    <mergeCell ref="A650:G650"/>
    <mergeCell ref="A651:G651"/>
    <mergeCell ref="A652:G652"/>
    <mergeCell ref="C566:D566"/>
    <mergeCell ref="C568:D568"/>
    <mergeCell ref="C577:D577"/>
    <mergeCell ref="C591:D591"/>
    <mergeCell ref="C435:D435"/>
    <mergeCell ref="C538:D538"/>
    <mergeCell ref="C637:D637"/>
    <mergeCell ref="C586:D586"/>
    <mergeCell ref="C447:D447"/>
    <mergeCell ref="C449:D449"/>
    <mergeCell ref="C508:D508"/>
    <mergeCell ref="C754:D754"/>
    <mergeCell ref="C755:D755"/>
    <mergeCell ref="C728:D728"/>
    <mergeCell ref="E680:G680"/>
    <mergeCell ref="C668:D668"/>
    <mergeCell ref="C674:D674"/>
    <mergeCell ref="C684:D684"/>
    <mergeCell ref="C720:D720"/>
    <mergeCell ref="C721:D721"/>
    <mergeCell ref="C671:D671"/>
    <mergeCell ref="C718:D718"/>
    <mergeCell ref="C694:D694"/>
    <mergeCell ref="A733:B733"/>
    <mergeCell ref="C733:G733"/>
    <mergeCell ref="A734:B734"/>
    <mergeCell ref="C734:D734"/>
    <mergeCell ref="E734:G734"/>
    <mergeCell ref="A735:B735"/>
    <mergeCell ref="C735:D735"/>
    <mergeCell ref="C919:D919"/>
    <mergeCell ref="C920:D920"/>
    <mergeCell ref="C921:D921"/>
    <mergeCell ref="C922:D922"/>
    <mergeCell ref="C900:D900"/>
    <mergeCell ref="C901:D901"/>
    <mergeCell ref="C902:D902"/>
    <mergeCell ref="C903:D903"/>
    <mergeCell ref="C911:D911"/>
    <mergeCell ref="C912:D912"/>
    <mergeCell ref="C913:D913"/>
    <mergeCell ref="C914:D914"/>
    <mergeCell ref="A879:G879"/>
    <mergeCell ref="A880:G880"/>
    <mergeCell ref="A881:G881"/>
    <mergeCell ref="A883:B883"/>
    <mergeCell ref="C883:G883"/>
    <mergeCell ref="A884:B884"/>
    <mergeCell ref="C884:D884"/>
    <mergeCell ref="A885:B885"/>
    <mergeCell ref="C885:D885"/>
    <mergeCell ref="C915:D915"/>
    <mergeCell ref="A910:B910"/>
    <mergeCell ref="C910:D910"/>
    <mergeCell ref="C917:D917"/>
    <mergeCell ref="C918:D918"/>
    <mergeCell ref="C887:D887"/>
    <mergeCell ref="C888:D888"/>
    <mergeCell ref="C889:D889"/>
    <mergeCell ref="C484:D484"/>
    <mergeCell ref="C485:D485"/>
    <mergeCell ref="C487:D487"/>
    <mergeCell ref="C509:D509"/>
    <mergeCell ref="C511:D511"/>
    <mergeCell ref="C514:D514"/>
    <mergeCell ref="C515:D515"/>
    <mergeCell ref="C523:D523"/>
    <mergeCell ref="C524:D524"/>
    <mergeCell ref="C525:D525"/>
    <mergeCell ref="C890:D890"/>
    <mergeCell ref="C891:D891"/>
    <mergeCell ref="C736:D736"/>
    <mergeCell ref="C737:D737"/>
    <mergeCell ref="A861:G861"/>
    <mergeCell ref="A862:G862"/>
    <mergeCell ref="A863:G863"/>
    <mergeCell ref="A602:B602"/>
    <mergeCell ref="C602:D602"/>
    <mergeCell ref="A730:G730"/>
    <mergeCell ref="C654:G654"/>
    <mergeCell ref="A655:B655"/>
    <mergeCell ref="C655:D655"/>
    <mergeCell ref="E655:G655"/>
    <mergeCell ref="A656:B656"/>
    <mergeCell ref="C656:D656"/>
    <mergeCell ref="C667:D667"/>
    <mergeCell ref="C916:D916"/>
    <mergeCell ref="A809:B809"/>
    <mergeCell ref="A300:B304"/>
    <mergeCell ref="C262:D262"/>
    <mergeCell ref="A773:B773"/>
    <mergeCell ref="C285:D285"/>
    <mergeCell ref="A268:B268"/>
    <mergeCell ref="C268:D268"/>
    <mergeCell ref="A377:B379"/>
    <mergeCell ref="C378:D378"/>
    <mergeCell ref="C379:D379"/>
    <mergeCell ref="E395:G395"/>
    <mergeCell ref="E470:G470"/>
    <mergeCell ref="C439:D439"/>
    <mergeCell ref="C448:D448"/>
    <mergeCell ref="C460:D460"/>
    <mergeCell ref="E421:G421"/>
    <mergeCell ref="C472:D472"/>
    <mergeCell ref="C478:D478"/>
    <mergeCell ref="A846:B846"/>
    <mergeCell ref="C846:D846"/>
    <mergeCell ref="C638:D638"/>
    <mergeCell ref="C788:D788"/>
    <mergeCell ref="E783:G783"/>
    <mergeCell ref="A911:B922"/>
    <mergeCell ref="C896:D896"/>
    <mergeCell ref="C897:D897"/>
    <mergeCell ref="C898:D898"/>
    <mergeCell ref="C899:D899"/>
    <mergeCell ref="C892:D892"/>
    <mergeCell ref="A886:B886"/>
    <mergeCell ref="C886:D886"/>
    <mergeCell ref="C432:D432"/>
    <mergeCell ref="C433:D433"/>
    <mergeCell ref="C395:D395"/>
    <mergeCell ref="C276:D276"/>
    <mergeCell ref="A277:B280"/>
    <mergeCell ref="C277:D277"/>
    <mergeCell ref="C279:D279"/>
    <mergeCell ref="C280:D280"/>
    <mergeCell ref="C278:D278"/>
    <mergeCell ref="C373:D373"/>
    <mergeCell ref="C374:D374"/>
    <mergeCell ref="C375:D375"/>
    <mergeCell ref="C377:D377"/>
    <mergeCell ref="C313:D313"/>
    <mergeCell ref="A316:G316"/>
    <mergeCell ref="A331:B332"/>
    <mergeCell ref="C328:D328"/>
    <mergeCell ref="C329:D329"/>
    <mergeCell ref="C386:D386"/>
    <mergeCell ref="A381:B382"/>
    <mergeCell ref="C381:D381"/>
    <mergeCell ref="C382:D382"/>
    <mergeCell ref="C398:D398"/>
    <mergeCell ref="C389:D389"/>
    <mergeCell ref="C430:D430"/>
    <mergeCell ref="A322:B322"/>
    <mergeCell ref="C331:D331"/>
    <mergeCell ref="E321:G321"/>
    <mergeCell ref="C139:D139"/>
    <mergeCell ref="C169:D169"/>
    <mergeCell ref="A166:B166"/>
    <mergeCell ref="C166:D166"/>
    <mergeCell ref="A165:B165"/>
    <mergeCell ref="C144:D144"/>
    <mergeCell ref="C145:D145"/>
    <mergeCell ref="C141:D141"/>
    <mergeCell ref="A141:B142"/>
    <mergeCell ref="C142:D142"/>
    <mergeCell ref="A143:B143"/>
    <mergeCell ref="C143:D143"/>
    <mergeCell ref="C140:D140"/>
    <mergeCell ref="A173:B173"/>
    <mergeCell ref="A144:B147"/>
    <mergeCell ref="A172:B172"/>
    <mergeCell ref="C173:D173"/>
    <mergeCell ref="C150:D150"/>
    <mergeCell ref="C171:D171"/>
    <mergeCell ref="C172:D172"/>
    <mergeCell ref="A171:B171"/>
    <mergeCell ref="A203:G203"/>
    <mergeCell ref="C220:D220"/>
    <mergeCell ref="A204:G204"/>
    <mergeCell ref="A152:G152"/>
    <mergeCell ref="E254:G254"/>
    <mergeCell ref="A255:B255"/>
    <mergeCell ref="A206:B206"/>
    <mergeCell ref="A276:B276"/>
    <mergeCell ref="C255:D255"/>
    <mergeCell ref="A189:B197"/>
    <mergeCell ref="E180:G180"/>
    <mergeCell ref="C174:D174"/>
    <mergeCell ref="A294:G294"/>
    <mergeCell ref="A295:G295"/>
    <mergeCell ref="A297:B297"/>
    <mergeCell ref="C297:G297"/>
    <mergeCell ref="A298:B298"/>
    <mergeCell ref="C298:D298"/>
    <mergeCell ref="C333:D333"/>
    <mergeCell ref="C308:D308"/>
    <mergeCell ref="A333:B333"/>
    <mergeCell ref="C330:D330"/>
    <mergeCell ref="C357:D357"/>
    <mergeCell ref="C301:D301"/>
    <mergeCell ref="A177:G177"/>
    <mergeCell ref="A179:B179"/>
    <mergeCell ref="C184:D184"/>
    <mergeCell ref="C185:D185"/>
    <mergeCell ref="C180:D180"/>
    <mergeCell ref="A237:B248"/>
    <mergeCell ref="A188:B188"/>
    <mergeCell ref="A271:G271"/>
    <mergeCell ref="A202:G202"/>
    <mergeCell ref="C119:D119"/>
    <mergeCell ref="C162:D162"/>
    <mergeCell ref="C194:D194"/>
    <mergeCell ref="C254:D254"/>
    <mergeCell ref="C338:D338"/>
    <mergeCell ref="C337:D337"/>
    <mergeCell ref="C322:D322"/>
    <mergeCell ref="A339:G339"/>
    <mergeCell ref="C369:D369"/>
    <mergeCell ref="E369:G369"/>
    <mergeCell ref="A272:G272"/>
    <mergeCell ref="A334:B334"/>
    <mergeCell ref="C290:D290"/>
    <mergeCell ref="A270:G270"/>
    <mergeCell ref="A344:B344"/>
    <mergeCell ref="C344:D344"/>
    <mergeCell ref="A249:G249"/>
    <mergeCell ref="A250:G250"/>
    <mergeCell ref="A251:G251"/>
    <mergeCell ref="C157:D157"/>
    <mergeCell ref="E157:G157"/>
    <mergeCell ref="A158:B158"/>
    <mergeCell ref="C158:D158"/>
    <mergeCell ref="A159:B163"/>
    <mergeCell ref="A168:B168"/>
    <mergeCell ref="C165:D165"/>
    <mergeCell ref="A169:B169"/>
    <mergeCell ref="A174:B174"/>
    <mergeCell ref="A175:G175"/>
    <mergeCell ref="A176:G176"/>
    <mergeCell ref="A208:B208"/>
    <mergeCell ref="A345:B345"/>
    <mergeCell ref="C216:D216"/>
    <mergeCell ref="C190:D190"/>
    <mergeCell ref="C288:D288"/>
    <mergeCell ref="C210:D210"/>
    <mergeCell ref="C207:D207"/>
    <mergeCell ref="C242:D242"/>
    <mergeCell ref="E275:G275"/>
    <mergeCell ref="E298:G298"/>
    <mergeCell ref="A265:B266"/>
    <mergeCell ref="C266:D266"/>
    <mergeCell ref="C358:D358"/>
    <mergeCell ref="A320:B320"/>
    <mergeCell ref="C302:D302"/>
    <mergeCell ref="C361:D361"/>
    <mergeCell ref="A293:G293"/>
    <mergeCell ref="A253:B253"/>
    <mergeCell ref="C253:G253"/>
    <mergeCell ref="A254:B254"/>
    <mergeCell ref="A226:G226"/>
    <mergeCell ref="A227:G227"/>
    <mergeCell ref="A229:B229"/>
    <mergeCell ref="C229:G229"/>
    <mergeCell ref="A230:B230"/>
    <mergeCell ref="C230:D230"/>
    <mergeCell ref="A231:B231"/>
    <mergeCell ref="C243:D243"/>
    <mergeCell ref="A207:B207"/>
    <mergeCell ref="C196:D196"/>
    <mergeCell ref="C201:D201"/>
    <mergeCell ref="C198:D198"/>
    <mergeCell ref="C138:D138"/>
    <mergeCell ref="C351:D351"/>
    <mergeCell ref="C286:D286"/>
    <mergeCell ref="C287:D287"/>
    <mergeCell ref="C405:D405"/>
    <mergeCell ref="C413:D413"/>
    <mergeCell ref="C148:D148"/>
    <mergeCell ref="C151:D151"/>
    <mergeCell ref="C164:D164"/>
    <mergeCell ref="C453:D453"/>
    <mergeCell ref="C454:D454"/>
    <mergeCell ref="C455:D455"/>
    <mergeCell ref="C456:D456"/>
    <mergeCell ref="C457:D457"/>
    <mergeCell ref="C458:D458"/>
    <mergeCell ref="C459:D459"/>
    <mergeCell ref="C372:D372"/>
    <mergeCell ref="C402:D402"/>
    <mergeCell ref="C403:D403"/>
    <mergeCell ref="C404:D404"/>
    <mergeCell ref="C384:D384"/>
    <mergeCell ref="C334:D334"/>
    <mergeCell ref="C335:D335"/>
    <mergeCell ref="C199:D199"/>
    <mergeCell ref="C422:D422"/>
    <mergeCell ref="C412:D412"/>
    <mergeCell ref="C414:D414"/>
    <mergeCell ref="C387:D387"/>
    <mergeCell ref="C388:D388"/>
    <mergeCell ref="C397:D397"/>
    <mergeCell ref="C350:D350"/>
    <mergeCell ref="C289:D289"/>
    <mergeCell ref="C246:D246"/>
    <mergeCell ref="C256:D256"/>
    <mergeCell ref="C261:D261"/>
    <mergeCell ref="C283:D283"/>
    <mergeCell ref="C284:D284"/>
    <mergeCell ref="C324:D324"/>
    <mergeCell ref="C305:D305"/>
    <mergeCell ref="C241:D241"/>
    <mergeCell ref="C217:D217"/>
    <mergeCell ref="A318:G318"/>
    <mergeCell ref="C352:D352"/>
    <mergeCell ref="C353:D353"/>
    <mergeCell ref="C354:D354"/>
    <mergeCell ref="C355:D355"/>
    <mergeCell ref="A234:B234"/>
    <mergeCell ref="C234:D234"/>
    <mergeCell ref="A267:B267"/>
    <mergeCell ref="C265:D265"/>
    <mergeCell ref="A209:B219"/>
    <mergeCell ref="C326:D326"/>
    <mergeCell ref="C267:D267"/>
    <mergeCell ref="A290:B290"/>
    <mergeCell ref="C307:D307"/>
    <mergeCell ref="C209:D209"/>
    <mergeCell ref="C257:D257"/>
    <mergeCell ref="C306:D306"/>
    <mergeCell ref="A236:B236"/>
    <mergeCell ref="C236:D236"/>
    <mergeCell ref="C239:D239"/>
    <mergeCell ref="C232:D232"/>
    <mergeCell ref="C237:D237"/>
    <mergeCell ref="C291:D291"/>
    <mergeCell ref="C687:D687"/>
    <mergeCell ref="C688:D688"/>
    <mergeCell ref="C689:D689"/>
    <mergeCell ref="C669:D669"/>
    <mergeCell ref="C690:D690"/>
    <mergeCell ref="C691:D691"/>
    <mergeCell ref="C672:D672"/>
    <mergeCell ref="C673:D673"/>
    <mergeCell ref="C692:D692"/>
    <mergeCell ref="C693:D693"/>
    <mergeCell ref="A274:B274"/>
    <mergeCell ref="C274:G274"/>
    <mergeCell ref="A275:B275"/>
    <mergeCell ref="C275:D275"/>
    <mergeCell ref="C327:D327"/>
    <mergeCell ref="C264:D264"/>
    <mergeCell ref="A317:G317"/>
    <mergeCell ref="C320:G320"/>
    <mergeCell ref="A321:B321"/>
    <mergeCell ref="C321:D321"/>
    <mergeCell ref="C475:D475"/>
    <mergeCell ref="C546:G546"/>
    <mergeCell ref="C670:D670"/>
    <mergeCell ref="C581:D581"/>
    <mergeCell ref="C427:D427"/>
    <mergeCell ref="C480:D480"/>
    <mergeCell ref="A465:G465"/>
    <mergeCell ref="A422:B422"/>
    <mergeCell ref="A420:B420"/>
    <mergeCell ref="C385:D385"/>
    <mergeCell ref="C383:D383"/>
    <mergeCell ref="C323:D323"/>
    <mergeCell ref="C137:D137"/>
    <mergeCell ref="C167:D167"/>
    <mergeCell ref="C123:D123"/>
    <mergeCell ref="A138:B138"/>
    <mergeCell ref="C124:D124"/>
    <mergeCell ref="C103:D103"/>
    <mergeCell ref="C112:D112"/>
    <mergeCell ref="C159:D159"/>
    <mergeCell ref="C149:D149"/>
    <mergeCell ref="C218:D218"/>
    <mergeCell ref="C219:D219"/>
    <mergeCell ref="C7:D7"/>
    <mergeCell ref="A8:B8"/>
    <mergeCell ref="C8:D8"/>
    <mergeCell ref="C49:D49"/>
    <mergeCell ref="C50:D50"/>
    <mergeCell ref="C51:D51"/>
    <mergeCell ref="C66:D66"/>
    <mergeCell ref="C67:D67"/>
    <mergeCell ref="C68:D68"/>
    <mergeCell ref="C69:D69"/>
    <mergeCell ref="C91:D91"/>
    <mergeCell ref="C78:D78"/>
    <mergeCell ref="C43:D43"/>
    <mergeCell ref="C44:D44"/>
    <mergeCell ref="C45:D45"/>
    <mergeCell ref="C46:D46"/>
    <mergeCell ref="C60:D60"/>
    <mergeCell ref="C87:D87"/>
    <mergeCell ref="C89:D89"/>
    <mergeCell ref="C73:D73"/>
    <mergeCell ref="C86:D86"/>
    <mergeCell ref="A81:G81"/>
    <mergeCell ref="A82:G82"/>
    <mergeCell ref="A85:B85"/>
    <mergeCell ref="C42:D42"/>
    <mergeCell ref="C88:D88"/>
    <mergeCell ref="C70:D70"/>
    <mergeCell ref="C65:D65"/>
    <mergeCell ref="C52:D52"/>
    <mergeCell ref="C61:D61"/>
    <mergeCell ref="A57:B57"/>
    <mergeCell ref="C57:G57"/>
    <mergeCell ref="C48:D48"/>
    <mergeCell ref="A2:G2"/>
    <mergeCell ref="A3:G3"/>
    <mergeCell ref="A4:G4"/>
    <mergeCell ref="C35:D35"/>
    <mergeCell ref="A23:B23"/>
    <mergeCell ref="C23:D23"/>
    <mergeCell ref="C24:D24"/>
    <mergeCell ref="C25:D25"/>
    <mergeCell ref="C26:D26"/>
    <mergeCell ref="C34:D34"/>
    <mergeCell ref="C18:D18"/>
    <mergeCell ref="C19:D19"/>
    <mergeCell ref="C20:D20"/>
    <mergeCell ref="A24:B26"/>
    <mergeCell ref="A34:B35"/>
    <mergeCell ref="A36:B37"/>
    <mergeCell ref="A135:B135"/>
    <mergeCell ref="C135:D135"/>
    <mergeCell ref="A22:B22"/>
    <mergeCell ref="C9:D9"/>
    <mergeCell ref="C10:D10"/>
    <mergeCell ref="C11:D11"/>
    <mergeCell ref="C12:D12"/>
    <mergeCell ref="C13:D13"/>
    <mergeCell ref="C22:D22"/>
    <mergeCell ref="A6:B6"/>
    <mergeCell ref="E36:E37"/>
    <mergeCell ref="C84:G84"/>
    <mergeCell ref="C85:D85"/>
    <mergeCell ref="E85:G85"/>
    <mergeCell ref="A87:B99"/>
    <mergeCell ref="A100:B103"/>
    <mergeCell ref="C6:G6"/>
    <mergeCell ref="A7:B7"/>
    <mergeCell ref="E7:G7"/>
    <mergeCell ref="C14:D14"/>
    <mergeCell ref="C15:D15"/>
    <mergeCell ref="C16:D16"/>
    <mergeCell ref="C17:D17"/>
    <mergeCell ref="C21:D21"/>
    <mergeCell ref="A9:B21"/>
    <mergeCell ref="C36:D37"/>
    <mergeCell ref="F36:F37"/>
    <mergeCell ref="G36:G37"/>
    <mergeCell ref="A38:B38"/>
    <mergeCell ref="C38:D38"/>
    <mergeCell ref="C126:D126"/>
    <mergeCell ref="C127:D127"/>
    <mergeCell ref="C200:D200"/>
    <mergeCell ref="C212:D212"/>
    <mergeCell ref="C213:D213"/>
    <mergeCell ref="C214:D214"/>
    <mergeCell ref="C187:D187"/>
    <mergeCell ref="C197:D197"/>
    <mergeCell ref="C208:D208"/>
    <mergeCell ref="C215:D215"/>
    <mergeCell ref="C311:D311"/>
    <mergeCell ref="C312:D312"/>
    <mergeCell ref="A182:B187"/>
    <mergeCell ref="E207:G207"/>
    <mergeCell ref="C206:G206"/>
    <mergeCell ref="A224:B224"/>
    <mergeCell ref="C309:D309"/>
    <mergeCell ref="C260:D260"/>
    <mergeCell ref="C314:D314"/>
    <mergeCell ref="C222:D222"/>
    <mergeCell ref="C223:D223"/>
    <mergeCell ref="A235:B235"/>
    <mergeCell ref="C248:D248"/>
    <mergeCell ref="C258:D258"/>
    <mergeCell ref="C259:D259"/>
    <mergeCell ref="C281:D281"/>
    <mergeCell ref="C282:D282"/>
    <mergeCell ref="C233:D233"/>
    <mergeCell ref="A198:B201"/>
    <mergeCell ref="A281:B289"/>
    <mergeCell ref="C193:D193"/>
    <mergeCell ref="A264:B264"/>
    <mergeCell ref="C224:D224"/>
    <mergeCell ref="C221:D221"/>
    <mergeCell ref="C506:D506"/>
    <mergeCell ref="C507:D507"/>
    <mergeCell ref="C510:D510"/>
    <mergeCell ref="C512:D512"/>
    <mergeCell ref="A569:G569"/>
    <mergeCell ref="A570:G570"/>
    <mergeCell ref="A571:G571"/>
    <mergeCell ref="A574:B574"/>
    <mergeCell ref="C496:D496"/>
    <mergeCell ref="C497:D497"/>
    <mergeCell ref="C498:D498"/>
    <mergeCell ref="C500:D500"/>
    <mergeCell ref="C550:D550"/>
    <mergeCell ref="A472:B488"/>
    <mergeCell ref="A496:B515"/>
    <mergeCell ref="A523:B541"/>
    <mergeCell ref="A549:B568"/>
    <mergeCell ref="C502:D502"/>
    <mergeCell ref="A543:G543"/>
    <mergeCell ref="A544:G544"/>
    <mergeCell ref="A546:B546"/>
    <mergeCell ref="A707:B707"/>
    <mergeCell ref="C707:D707"/>
    <mergeCell ref="C744:D744"/>
    <mergeCell ref="A777:B777"/>
    <mergeCell ref="C777:D777"/>
    <mergeCell ref="A785:B785"/>
    <mergeCell ref="C785:D785"/>
    <mergeCell ref="A780:G780"/>
    <mergeCell ref="A782:B782"/>
    <mergeCell ref="C782:G782"/>
    <mergeCell ref="A783:B783"/>
    <mergeCell ref="C783:D783"/>
    <mergeCell ref="C752:D752"/>
    <mergeCell ref="C738:D738"/>
    <mergeCell ref="C739:D739"/>
    <mergeCell ref="C740:D740"/>
    <mergeCell ref="C745:D745"/>
    <mergeCell ref="C741:D741"/>
    <mergeCell ref="A768:B768"/>
    <mergeCell ref="C768:D768"/>
    <mergeCell ref="C742:D742"/>
    <mergeCell ref="C743:D743"/>
    <mergeCell ref="C719:D719"/>
    <mergeCell ref="C712:D712"/>
    <mergeCell ref="C713:D713"/>
    <mergeCell ref="A778:G778"/>
    <mergeCell ref="A764:B767"/>
    <mergeCell ref="A761:B761"/>
    <mergeCell ref="C761:D761"/>
    <mergeCell ref="E761:G761"/>
    <mergeCell ref="A762:B762"/>
    <mergeCell ref="C762:D762"/>
    <mergeCell ref="C764:D764"/>
    <mergeCell ref="C765:D765"/>
    <mergeCell ref="C767:D767"/>
    <mergeCell ref="C766:D766"/>
    <mergeCell ref="C724:D724"/>
    <mergeCell ref="C725:D725"/>
    <mergeCell ref="A731:G731"/>
    <mergeCell ref="C873:D873"/>
    <mergeCell ref="C789:D789"/>
    <mergeCell ref="C870:D870"/>
    <mergeCell ref="C871:D871"/>
    <mergeCell ref="A784:B784"/>
    <mergeCell ref="C784:D784"/>
    <mergeCell ref="A770:B770"/>
    <mergeCell ref="C770:D770"/>
    <mergeCell ref="C848:D848"/>
    <mergeCell ref="C787:D787"/>
    <mergeCell ref="C852:D852"/>
    <mergeCell ref="A763:B763"/>
    <mergeCell ref="C763:D763"/>
    <mergeCell ref="A807:B807"/>
    <mergeCell ref="C807:D807"/>
    <mergeCell ref="A811:B813"/>
    <mergeCell ref="C813:D813"/>
    <mergeCell ref="C810:D810"/>
    <mergeCell ref="C845:D845"/>
    <mergeCell ref="C775:D775"/>
    <mergeCell ref="A774:B775"/>
    <mergeCell ref="A786:B786"/>
    <mergeCell ref="C786:D786"/>
    <mergeCell ref="A797:B799"/>
    <mergeCell ref="C797:D797"/>
    <mergeCell ref="A869:B869"/>
    <mergeCell ref="C869:D869"/>
    <mergeCell ref="E845:G845"/>
    <mergeCell ref="A857:B857"/>
    <mergeCell ref="C857:D857"/>
    <mergeCell ref="C774:D774"/>
    <mergeCell ref="A859:B859"/>
    <mergeCell ref="A855:B855"/>
    <mergeCell ref="C855:D855"/>
    <mergeCell ref="A856:B856"/>
    <mergeCell ref="C853:D853"/>
    <mergeCell ref="C814:D814"/>
    <mergeCell ref="C815:D815"/>
    <mergeCell ref="A801:G801"/>
    <mergeCell ref="A820:G820"/>
    <mergeCell ref="A821:G821"/>
    <mergeCell ref="A822:G822"/>
    <mergeCell ref="C808:D808"/>
    <mergeCell ref="A792:B792"/>
    <mergeCell ref="C792:D792"/>
    <mergeCell ref="C809:D809"/>
    <mergeCell ref="C794:D794"/>
    <mergeCell ref="A794:B794"/>
    <mergeCell ref="A779:G779"/>
    <mergeCell ref="C798:D798"/>
    <mergeCell ref="C799:D799"/>
    <mergeCell ref="A818:B818"/>
    <mergeCell ref="C818:D818"/>
    <mergeCell ref="C844:G844"/>
    <mergeCell ref="A845:B845"/>
    <mergeCell ref="C769:D769"/>
    <mergeCell ref="C849:D849"/>
    <mergeCell ref="C850:D850"/>
    <mergeCell ref="C851:D851"/>
    <mergeCell ref="A769:B769"/>
    <mergeCell ref="A824:B824"/>
    <mergeCell ref="C824:G824"/>
    <mergeCell ref="A825:B825"/>
    <mergeCell ref="C825:D825"/>
    <mergeCell ref="C837:D837"/>
    <mergeCell ref="C838:D838"/>
    <mergeCell ref="C839:D839"/>
    <mergeCell ref="C847:D847"/>
    <mergeCell ref="C856:D856"/>
    <mergeCell ref="A840:G840"/>
    <mergeCell ref="A841:G841"/>
    <mergeCell ref="A842:G842"/>
    <mergeCell ref="A844:B844"/>
    <mergeCell ref="C773:D773"/>
    <mergeCell ref="C771:D771"/>
    <mergeCell ref="C772:D772"/>
    <mergeCell ref="A866:B866"/>
    <mergeCell ref="C866:D866"/>
    <mergeCell ref="A867:B867"/>
    <mergeCell ref="C867:D867"/>
    <mergeCell ref="C828:D828"/>
    <mergeCell ref="C829:D829"/>
    <mergeCell ref="A827:B827"/>
    <mergeCell ref="A830:B831"/>
    <mergeCell ref="E805:G805"/>
    <mergeCell ref="E825:G825"/>
    <mergeCell ref="A802:G802"/>
    <mergeCell ref="C827:D827"/>
    <mergeCell ref="C832:D832"/>
    <mergeCell ref="C805:D805"/>
    <mergeCell ref="A787:B788"/>
    <mergeCell ref="A791:B791"/>
    <mergeCell ref="C791:D791"/>
    <mergeCell ref="A793:B793"/>
    <mergeCell ref="C793:D793"/>
    <mergeCell ref="A796:B796"/>
    <mergeCell ref="C796:D796"/>
    <mergeCell ref="A810:B810"/>
    <mergeCell ref="C811:D811"/>
    <mergeCell ref="C812:D812"/>
    <mergeCell ref="C830:D830"/>
    <mergeCell ref="C831:D831"/>
    <mergeCell ref="C804:G804"/>
    <mergeCell ref="A805:B805"/>
    <mergeCell ref="A865:B865"/>
    <mergeCell ref="C865:G865"/>
    <mergeCell ref="C835:D835"/>
    <mergeCell ref="A814:B814"/>
    <mergeCell ref="A924:B924"/>
    <mergeCell ref="C924:D924"/>
    <mergeCell ref="A876:B876"/>
    <mergeCell ref="C876:D876"/>
    <mergeCell ref="A875:B875"/>
    <mergeCell ref="C875:D875"/>
    <mergeCell ref="A923:B923"/>
    <mergeCell ref="C923:D923"/>
    <mergeCell ref="A789:B789"/>
    <mergeCell ref="A877:B877"/>
    <mergeCell ref="C877:D877"/>
    <mergeCell ref="C874:D874"/>
    <mergeCell ref="A790:B790"/>
    <mergeCell ref="C776:D776"/>
    <mergeCell ref="C872:D872"/>
    <mergeCell ref="C790:D790"/>
    <mergeCell ref="C859:D859"/>
    <mergeCell ref="A860:B860"/>
    <mergeCell ref="C860:D860"/>
    <mergeCell ref="A776:B776"/>
    <mergeCell ref="A858:B858"/>
    <mergeCell ref="C893:D893"/>
    <mergeCell ref="C894:D894"/>
    <mergeCell ref="C895:D895"/>
    <mergeCell ref="A826:B826"/>
    <mergeCell ref="C826:D826"/>
    <mergeCell ref="A815:B816"/>
    <mergeCell ref="A800:G800"/>
    <mergeCell ref="C833:D833"/>
    <mergeCell ref="C834:D834"/>
    <mergeCell ref="A868:B868"/>
    <mergeCell ref="C868:D868"/>
    <mergeCell ref="A291:B291"/>
    <mergeCell ref="A299:B299"/>
    <mergeCell ref="C299:D299"/>
    <mergeCell ref="C356:D356"/>
    <mergeCell ref="A340:G340"/>
    <mergeCell ref="A341:G341"/>
    <mergeCell ref="A343:B343"/>
    <mergeCell ref="C343:G343"/>
    <mergeCell ref="C310:D310"/>
    <mergeCell ref="A392:G392"/>
    <mergeCell ref="A394:B394"/>
    <mergeCell ref="C394:G394"/>
    <mergeCell ref="C431:D431"/>
    <mergeCell ref="C362:D362"/>
    <mergeCell ref="C345:D345"/>
    <mergeCell ref="C410:D410"/>
    <mergeCell ref="C332:D332"/>
    <mergeCell ref="C300:D300"/>
    <mergeCell ref="C303:D303"/>
    <mergeCell ref="C304:D304"/>
    <mergeCell ref="C380:D380"/>
    <mergeCell ref="A417:G417"/>
    <mergeCell ref="A418:G418"/>
    <mergeCell ref="C428:D428"/>
    <mergeCell ref="A368:B368"/>
    <mergeCell ref="C368:G368"/>
    <mergeCell ref="C371:D371"/>
    <mergeCell ref="A390:G390"/>
    <mergeCell ref="A391:G391"/>
    <mergeCell ref="A395:B395"/>
    <mergeCell ref="C363:D363"/>
    <mergeCell ref="C425:D425"/>
    <mergeCell ref="C746:D746"/>
    <mergeCell ref="C747:D747"/>
    <mergeCell ref="C748:D748"/>
    <mergeCell ref="C749:D749"/>
    <mergeCell ref="C750:D750"/>
    <mergeCell ref="C751:D751"/>
    <mergeCell ref="A795:B795"/>
    <mergeCell ref="C795:D795"/>
    <mergeCell ref="C753:D753"/>
    <mergeCell ref="C347:D347"/>
    <mergeCell ref="C348:D348"/>
    <mergeCell ref="A346:B348"/>
    <mergeCell ref="C406:D406"/>
    <mergeCell ref="C407:D407"/>
    <mergeCell ref="C408:D408"/>
    <mergeCell ref="C409:D409"/>
    <mergeCell ref="C399:D399"/>
    <mergeCell ref="C400:D400"/>
    <mergeCell ref="C401:D401"/>
    <mergeCell ref="A679:B679"/>
    <mergeCell ref="C679:G679"/>
    <mergeCell ref="A680:B680"/>
    <mergeCell ref="A445:B445"/>
    <mergeCell ref="C445:D445"/>
    <mergeCell ref="E445:G445"/>
    <mergeCell ref="C594:D594"/>
    <mergeCell ref="A380:B380"/>
    <mergeCell ref="A396:B396"/>
    <mergeCell ref="C396:D396"/>
    <mergeCell ref="A416:G416"/>
    <mergeCell ref="A708:B708"/>
    <mergeCell ref="C708:D708"/>
    <mergeCell ref="C695:D695"/>
    <mergeCell ref="C513:D513"/>
    <mergeCell ref="C530:D530"/>
    <mergeCell ref="C505:D505"/>
    <mergeCell ref="C682:D682"/>
    <mergeCell ref="C683:D683"/>
    <mergeCell ref="A547:B547"/>
    <mergeCell ref="C533:D533"/>
    <mergeCell ref="C411:D411"/>
    <mergeCell ref="A470:B470"/>
    <mergeCell ref="C426:D426"/>
    <mergeCell ref="C420:G420"/>
    <mergeCell ref="C421:D421"/>
    <mergeCell ref="C437:D437"/>
    <mergeCell ref="C486:D486"/>
    <mergeCell ref="C495:D495"/>
    <mergeCell ref="A516:G516"/>
    <mergeCell ref="A517:G517"/>
    <mergeCell ref="A518:G518"/>
    <mergeCell ref="C531:D531"/>
    <mergeCell ref="C535:D535"/>
    <mergeCell ref="C415:D415"/>
    <mergeCell ref="C423:D423"/>
    <mergeCell ref="C424:D424"/>
    <mergeCell ref="C461:D461"/>
    <mergeCell ref="C463:D463"/>
    <mergeCell ref="C464:D464"/>
    <mergeCell ref="C476:D476"/>
    <mergeCell ref="C462:D462"/>
    <mergeCell ref="C481:D481"/>
    <mergeCell ref="C482:D482"/>
    <mergeCell ref="C529:D529"/>
    <mergeCell ref="C469:G469"/>
    <mergeCell ref="C470:D470"/>
    <mergeCell ref="C451:D451"/>
    <mergeCell ref="C429:D429"/>
    <mergeCell ref="C438:D438"/>
    <mergeCell ref="C434:D434"/>
    <mergeCell ref="C436:D436"/>
    <mergeCell ref="A440:G440"/>
    <mergeCell ref="A441:G441"/>
    <mergeCell ref="A442:G442"/>
    <mergeCell ref="A444:B444"/>
    <mergeCell ref="C444:G444"/>
    <mergeCell ref="A446:B446"/>
    <mergeCell ref="C446:D446"/>
    <mergeCell ref="C587:D587"/>
    <mergeCell ref="C661:D661"/>
    <mergeCell ref="C588:D588"/>
    <mergeCell ref="C589:D589"/>
    <mergeCell ref="C590:D590"/>
    <mergeCell ref="C592:D592"/>
    <mergeCell ref="C593:D593"/>
    <mergeCell ref="C534:D534"/>
    <mergeCell ref="C521:D521"/>
    <mergeCell ref="E521:G521"/>
    <mergeCell ref="A522:B522"/>
    <mergeCell ref="C522:D522"/>
    <mergeCell ref="A542:G542"/>
    <mergeCell ref="C488:D488"/>
    <mergeCell ref="C526:D526"/>
    <mergeCell ref="C527:D527"/>
    <mergeCell ref="C528:D528"/>
    <mergeCell ref="C504:D504"/>
    <mergeCell ref="C660:D660"/>
    <mergeCell ref="C635:D635"/>
    <mergeCell ref="C636:D636"/>
    <mergeCell ref="A603:B622"/>
    <mergeCell ref="A630:B649"/>
    <mergeCell ref="A657:B665"/>
    <mergeCell ref="A667:B674"/>
    <mergeCell ref="C640:D640"/>
    <mergeCell ref="C604:D604"/>
    <mergeCell ref="C605:D605"/>
    <mergeCell ref="C606:D606"/>
    <mergeCell ref="C608:D608"/>
    <mergeCell ref="C609:D609"/>
    <mergeCell ref="C632:D632"/>
    <mergeCell ref="C633:D633"/>
    <mergeCell ref="C639:D639"/>
    <mergeCell ref="C574:D574"/>
    <mergeCell ref="C630:D630"/>
    <mergeCell ref="C618:D618"/>
    <mergeCell ref="C662:D662"/>
    <mergeCell ref="C595:D595"/>
    <mergeCell ref="C607:D607"/>
    <mergeCell ref="A666:B666"/>
    <mergeCell ref="C666:D666"/>
    <mergeCell ref="A623:G623"/>
    <mergeCell ref="A624:G624"/>
    <mergeCell ref="A625:G625"/>
    <mergeCell ref="A627:B627"/>
    <mergeCell ref="C627:G627"/>
    <mergeCell ref="A628:B628"/>
    <mergeCell ref="C628:D628"/>
    <mergeCell ref="E628:G628"/>
    <mergeCell ref="C717:D717"/>
    <mergeCell ref="A704:G704"/>
    <mergeCell ref="C709:D709"/>
    <mergeCell ref="C551:D551"/>
    <mergeCell ref="C552:D552"/>
    <mergeCell ref="C611:D611"/>
    <mergeCell ref="C664:D664"/>
    <mergeCell ref="C612:D612"/>
    <mergeCell ref="C665:D665"/>
    <mergeCell ref="C701:D701"/>
    <mergeCell ref="A573:B573"/>
    <mergeCell ref="C573:G573"/>
    <mergeCell ref="C645:D645"/>
    <mergeCell ref="C711:D711"/>
    <mergeCell ref="C680:D680"/>
    <mergeCell ref="A675:G675"/>
    <mergeCell ref="C583:D583"/>
    <mergeCell ref="C584:D584"/>
    <mergeCell ref="C585:D585"/>
    <mergeCell ref="A682:B701"/>
    <mergeCell ref="C641:D641"/>
    <mergeCell ref="C643:D643"/>
    <mergeCell ref="C644:D644"/>
    <mergeCell ref="C646:D646"/>
    <mergeCell ref="C699:D699"/>
    <mergeCell ref="A676:G676"/>
    <mergeCell ref="A677:G677"/>
    <mergeCell ref="A629:B629"/>
    <mergeCell ref="C555:D555"/>
    <mergeCell ref="C567:D567"/>
    <mergeCell ref="C647:D647"/>
    <mergeCell ref="C642:D642"/>
    <mergeCell ref="C700:D700"/>
    <mergeCell ref="A596:G596"/>
    <mergeCell ref="A597:G597"/>
    <mergeCell ref="A598:G598"/>
    <mergeCell ref="D927:F927"/>
    <mergeCell ref="A854:B854"/>
    <mergeCell ref="C854:D854"/>
    <mergeCell ref="C686:D686"/>
    <mergeCell ref="C727:D727"/>
    <mergeCell ref="C696:D696"/>
    <mergeCell ref="C697:D697"/>
    <mergeCell ref="A828:B829"/>
    <mergeCell ref="C685:D685"/>
    <mergeCell ref="A681:B681"/>
    <mergeCell ref="C681:D681"/>
    <mergeCell ref="C722:D722"/>
    <mergeCell ref="C723:D723"/>
    <mergeCell ref="A808:B808"/>
    <mergeCell ref="C698:D698"/>
    <mergeCell ref="C858:D858"/>
    <mergeCell ref="C658:D658"/>
    <mergeCell ref="C659:D659"/>
    <mergeCell ref="C634:D634"/>
    <mergeCell ref="C648:D648"/>
    <mergeCell ref="C649:D649"/>
    <mergeCell ref="C657:D657"/>
    <mergeCell ref="C619:D619"/>
    <mergeCell ref="C616:D616"/>
    <mergeCell ref="C615:D615"/>
    <mergeCell ref="C617:D617"/>
    <mergeCell ref="C714:D714"/>
    <mergeCell ref="C715:D715"/>
    <mergeCell ref="D928:F928"/>
    <mergeCell ref="A870:B874"/>
    <mergeCell ref="E866:G866"/>
    <mergeCell ref="E884:G884"/>
    <mergeCell ref="A706:B706"/>
    <mergeCell ref="C706:G706"/>
    <mergeCell ref="E707:G707"/>
    <mergeCell ref="A804:B804"/>
    <mergeCell ref="A806:B806"/>
    <mergeCell ref="C806:D806"/>
    <mergeCell ref="C836:D836"/>
    <mergeCell ref="A702:G702"/>
    <mergeCell ref="A703:G703"/>
    <mergeCell ref="C816:D816"/>
    <mergeCell ref="A817:B817"/>
    <mergeCell ref="C817:D817"/>
    <mergeCell ref="A832:B839"/>
    <mergeCell ref="A847:B853"/>
    <mergeCell ref="A709:B728"/>
    <mergeCell ref="A736:B755"/>
    <mergeCell ref="A887:B903"/>
    <mergeCell ref="A904:G904"/>
    <mergeCell ref="A905:G905"/>
    <mergeCell ref="A906:G906"/>
    <mergeCell ref="A908:B908"/>
    <mergeCell ref="C908:G908"/>
    <mergeCell ref="A909:B909"/>
    <mergeCell ref="C909:D909"/>
    <mergeCell ref="E909:G909"/>
    <mergeCell ref="C710:D710"/>
    <mergeCell ref="C726:D726"/>
    <mergeCell ref="C716:D716"/>
    <mergeCell ref="C98:D98"/>
    <mergeCell ref="C99:D99"/>
    <mergeCell ref="C62:D62"/>
    <mergeCell ref="C63:D63"/>
    <mergeCell ref="C64:D64"/>
    <mergeCell ref="C47:D47"/>
    <mergeCell ref="C39:D39"/>
    <mergeCell ref="C40:D40"/>
    <mergeCell ref="C41:D41"/>
    <mergeCell ref="C71:D71"/>
    <mergeCell ref="C72:D72"/>
    <mergeCell ref="C75:D75"/>
    <mergeCell ref="A323:B330"/>
    <mergeCell ref="A350:B363"/>
    <mergeCell ref="A364:G364"/>
    <mergeCell ref="A365:G365"/>
    <mergeCell ref="A366:G366"/>
    <mergeCell ref="C90:D90"/>
    <mergeCell ref="C76:D76"/>
    <mergeCell ref="C77:D77"/>
    <mergeCell ref="A221:B223"/>
    <mergeCell ref="C349:D349"/>
    <mergeCell ref="C238:D238"/>
    <mergeCell ref="C235:D235"/>
    <mergeCell ref="C191:D191"/>
    <mergeCell ref="C192:D192"/>
    <mergeCell ref="C211:D211"/>
    <mergeCell ref="C195:D195"/>
    <mergeCell ref="C244:D244"/>
    <mergeCell ref="C245:D245"/>
    <mergeCell ref="C263:D263"/>
    <mergeCell ref="C247:D247"/>
    <mergeCell ref="C537:D537"/>
    <mergeCell ref="C539:D539"/>
    <mergeCell ref="C540:D540"/>
    <mergeCell ref="C541:D541"/>
    <mergeCell ref="C621:D621"/>
    <mergeCell ref="C622:D622"/>
    <mergeCell ref="C561:D561"/>
    <mergeCell ref="C562:D562"/>
    <mergeCell ref="C563:D563"/>
    <mergeCell ref="C582:D582"/>
    <mergeCell ref="C610:D610"/>
    <mergeCell ref="C536:D536"/>
    <mergeCell ref="A489:G489"/>
    <mergeCell ref="C549:D549"/>
    <mergeCell ref="A370:B370"/>
    <mergeCell ref="C370:D370"/>
    <mergeCell ref="A371:B376"/>
    <mergeCell ref="A383:B389"/>
    <mergeCell ref="A397:B415"/>
    <mergeCell ref="A423:B439"/>
    <mergeCell ref="A447:B464"/>
    <mergeCell ref="A575:B575"/>
    <mergeCell ref="A471:B471"/>
    <mergeCell ref="C471:D471"/>
    <mergeCell ref="C473:D473"/>
    <mergeCell ref="C474:D474"/>
    <mergeCell ref="C603:D603"/>
    <mergeCell ref="C560:D560"/>
    <mergeCell ref="A467:G467"/>
    <mergeCell ref="A421:B421"/>
    <mergeCell ref="C452:D452"/>
    <mergeCell ref="A469:B469"/>
    <mergeCell ref="A576:B595"/>
    <mergeCell ref="A305:B314"/>
    <mergeCell ref="A369:B369"/>
    <mergeCell ref="E344:G344"/>
    <mergeCell ref="C231:D231"/>
    <mergeCell ref="C532:D532"/>
    <mergeCell ref="C547:D547"/>
    <mergeCell ref="C553:D553"/>
    <mergeCell ref="C554:D554"/>
    <mergeCell ref="C483:D483"/>
    <mergeCell ref="C499:D499"/>
    <mergeCell ref="C477:D477"/>
    <mergeCell ref="C479:D479"/>
    <mergeCell ref="A490:G490"/>
    <mergeCell ref="A491:G491"/>
    <mergeCell ref="A493:B493"/>
    <mergeCell ref="C493:G493"/>
    <mergeCell ref="A494:B494"/>
    <mergeCell ref="C494:D494"/>
    <mergeCell ref="E494:G494"/>
    <mergeCell ref="A495:B495"/>
    <mergeCell ref="C579:D579"/>
    <mergeCell ref="E574:G574"/>
    <mergeCell ref="A232:B233"/>
    <mergeCell ref="C575:D575"/>
    <mergeCell ref="C576:D576"/>
    <mergeCell ref="C578:D578"/>
    <mergeCell ref="C580:D580"/>
    <mergeCell ref="C556:D556"/>
    <mergeCell ref="C557:D557"/>
    <mergeCell ref="C558:D558"/>
    <mergeCell ref="C559:D559"/>
  </mergeCells>
  <printOptions horizontalCentered="1"/>
  <pageMargins left="0.19685039370078741" right="0.19685039370078741" top="0.51181102362204722" bottom="0.78740157480314965" header="0.51181102362204722" footer="0.51181102362204722"/>
  <pageSetup paperSize="9" firstPageNumber="337" orientation="landscape" useFirstPageNumber="1" r:id="rId1"/>
  <headerFooter alignWithMargins="0">
    <oddHeader>&amp;C&amp;"Times New Roman,Regular"&amp;P</oddHeader>
  </headerFooter>
  <ignoredErrors>
    <ignoredError sqref="F32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207"/>
  <sheetViews>
    <sheetView topLeftCell="A97" workbookViewId="0">
      <selection activeCell="I198" sqref="I198"/>
    </sheetView>
  </sheetViews>
  <sheetFormatPr defaultRowHeight="15" x14ac:dyDescent="0.25"/>
  <cols>
    <col min="9" max="10" width="9.5703125" bestFit="1" customWidth="1"/>
    <col min="11" max="12" width="10.140625" customWidth="1"/>
  </cols>
  <sheetData>
    <row r="2" spans="2:18" ht="15.75" x14ac:dyDescent="0.25">
      <c r="B2" s="3">
        <v>0</v>
      </c>
      <c r="C2" s="3">
        <v>0</v>
      </c>
      <c r="E2" s="5">
        <v>1.51</v>
      </c>
      <c r="F2" s="5">
        <v>0</v>
      </c>
      <c r="H2" s="4">
        <v>23.89</v>
      </c>
      <c r="I2" s="4">
        <v>0</v>
      </c>
      <c r="K2" s="3">
        <v>0</v>
      </c>
      <c r="L2" s="3">
        <v>0</v>
      </c>
      <c r="N2" s="3">
        <v>0</v>
      </c>
      <c r="O2" s="3">
        <v>5.04</v>
      </c>
      <c r="Q2" s="5">
        <v>41.07</v>
      </c>
      <c r="R2" s="5">
        <v>0</v>
      </c>
    </row>
    <row r="3" spans="2:18" ht="15.75" x14ac:dyDescent="0.25">
      <c r="B3" s="3">
        <v>0</v>
      </c>
      <c r="C3" s="3">
        <v>0</v>
      </c>
      <c r="E3" s="3">
        <v>12.78</v>
      </c>
      <c r="F3" s="3">
        <v>0</v>
      </c>
      <c r="H3" s="4">
        <v>34.770000000000003</v>
      </c>
      <c r="I3" s="4">
        <v>0</v>
      </c>
      <c r="K3" s="3">
        <v>0</v>
      </c>
      <c r="L3" s="3">
        <v>0</v>
      </c>
      <c r="N3" s="3">
        <v>0</v>
      </c>
      <c r="O3" s="3">
        <v>10.09</v>
      </c>
      <c r="Q3" s="3">
        <v>21</v>
      </c>
      <c r="R3" s="3">
        <v>0</v>
      </c>
    </row>
    <row r="4" spans="2:18" ht="15.75" x14ac:dyDescent="0.25">
      <c r="B4" s="3">
        <v>0</v>
      </c>
      <c r="C4" s="3">
        <v>0</v>
      </c>
      <c r="E4" s="3">
        <v>21.9</v>
      </c>
      <c r="F4" s="3">
        <v>0</v>
      </c>
      <c r="H4" s="4">
        <v>47</v>
      </c>
      <c r="I4" s="4">
        <v>0</v>
      </c>
      <c r="K4" s="3">
        <v>0</v>
      </c>
      <c r="L4" s="3">
        <v>0</v>
      </c>
      <c r="N4" s="3">
        <v>0</v>
      </c>
      <c r="O4" s="3">
        <v>9.4499999999999993</v>
      </c>
      <c r="Q4" s="3">
        <v>41.07</v>
      </c>
      <c r="R4" s="3">
        <v>0</v>
      </c>
    </row>
    <row r="5" spans="2:18" ht="15.75" x14ac:dyDescent="0.25">
      <c r="B5" s="3">
        <v>0</v>
      </c>
      <c r="C5" s="3">
        <v>0</v>
      </c>
      <c r="E5" s="3">
        <v>21.19</v>
      </c>
      <c r="F5" s="3">
        <v>0</v>
      </c>
      <c r="H5" s="4">
        <v>32.32</v>
      </c>
      <c r="I5" s="4">
        <v>0</v>
      </c>
      <c r="K5" s="3">
        <v>0</v>
      </c>
      <c r="L5" s="3">
        <v>0</v>
      </c>
      <c r="N5" s="3">
        <v>0</v>
      </c>
      <c r="O5" s="3">
        <v>9.4499999999999993</v>
      </c>
      <c r="Q5" s="3">
        <v>21</v>
      </c>
      <c r="R5" s="3">
        <v>0</v>
      </c>
    </row>
    <row r="6" spans="2:18" ht="15.75" x14ac:dyDescent="0.25">
      <c r="B6" s="3">
        <v>0</v>
      </c>
      <c r="C6" s="3">
        <v>0</v>
      </c>
      <c r="E6" s="3">
        <v>37.159999999999997</v>
      </c>
      <c r="F6" s="3">
        <v>0</v>
      </c>
      <c r="H6" s="4">
        <v>0</v>
      </c>
      <c r="I6" s="4">
        <v>0</v>
      </c>
      <c r="K6" s="3">
        <v>0</v>
      </c>
      <c r="L6" s="3">
        <v>0</v>
      </c>
      <c r="N6" s="3">
        <v>0</v>
      </c>
      <c r="O6" s="3">
        <v>9.4499999999999993</v>
      </c>
      <c r="Q6" s="5">
        <v>21</v>
      </c>
      <c r="R6" s="5">
        <v>0</v>
      </c>
    </row>
    <row r="7" spans="2:18" ht="15.75" x14ac:dyDescent="0.25">
      <c r="B7" s="3">
        <v>0</v>
      </c>
      <c r="C7" s="3">
        <v>0</v>
      </c>
      <c r="E7" s="3">
        <v>59.01</v>
      </c>
      <c r="F7" s="3">
        <v>0</v>
      </c>
      <c r="H7" s="4">
        <v>0</v>
      </c>
      <c r="I7" s="4">
        <v>0</v>
      </c>
      <c r="K7" s="3">
        <v>0</v>
      </c>
      <c r="L7" s="3">
        <v>28.35</v>
      </c>
      <c r="N7" s="3">
        <v>0</v>
      </c>
      <c r="O7" s="3">
        <v>18.899999999999999</v>
      </c>
      <c r="Q7" s="16">
        <v>41.07</v>
      </c>
      <c r="R7" s="30">
        <v>46.75</v>
      </c>
    </row>
    <row r="8" spans="2:18" ht="15.75" x14ac:dyDescent="0.25">
      <c r="B8" s="3">
        <v>0</v>
      </c>
      <c r="C8" s="3">
        <v>0</v>
      </c>
      <c r="E8" s="3">
        <v>37.590000000000003</v>
      </c>
      <c r="F8" s="3">
        <v>0</v>
      </c>
      <c r="H8" s="4">
        <v>0</v>
      </c>
      <c r="I8" s="4">
        <v>0</v>
      </c>
      <c r="K8" s="3">
        <v>0</v>
      </c>
      <c r="L8" s="17">
        <v>15.91</v>
      </c>
      <c r="N8" s="3">
        <v>0</v>
      </c>
      <c r="O8" s="3">
        <v>27.88</v>
      </c>
      <c r="Q8" s="5">
        <v>22.51</v>
      </c>
      <c r="R8" s="5">
        <v>55.93</v>
      </c>
    </row>
    <row r="9" spans="2:18" ht="15.75" x14ac:dyDescent="0.25">
      <c r="B9" s="3">
        <v>25</v>
      </c>
      <c r="C9" s="3">
        <v>78</v>
      </c>
      <c r="E9" s="2">
        <v>48.25</v>
      </c>
      <c r="F9" s="4">
        <v>0</v>
      </c>
      <c r="H9" s="4">
        <v>0</v>
      </c>
      <c r="I9" s="4">
        <v>0</v>
      </c>
      <c r="K9" s="3">
        <v>0</v>
      </c>
      <c r="L9" s="3">
        <v>37.81</v>
      </c>
      <c r="N9" s="3">
        <v>0</v>
      </c>
      <c r="O9" s="3">
        <v>1.8</v>
      </c>
      <c r="Q9" s="5">
        <v>41.07</v>
      </c>
      <c r="R9" s="5">
        <v>25.83</v>
      </c>
    </row>
    <row r="10" spans="2:18" ht="15.75" x14ac:dyDescent="0.25">
      <c r="B10" s="3">
        <v>6444.72</v>
      </c>
      <c r="C10" s="3">
        <v>2333.33</v>
      </c>
      <c r="E10" s="2">
        <v>22.33</v>
      </c>
      <c r="F10" s="4">
        <v>0</v>
      </c>
      <c r="H10" s="4">
        <v>0</v>
      </c>
      <c r="I10" s="4">
        <v>0</v>
      </c>
      <c r="K10" s="3">
        <v>0</v>
      </c>
      <c r="L10" s="3">
        <v>37.81</v>
      </c>
      <c r="N10" s="3">
        <v>0</v>
      </c>
      <c r="O10" s="3">
        <v>9.4499999999999993</v>
      </c>
      <c r="Q10" s="5">
        <v>21</v>
      </c>
      <c r="R10" s="5">
        <v>0</v>
      </c>
    </row>
    <row r="11" spans="2:18" ht="15.75" x14ac:dyDescent="0.25">
      <c r="B11" s="5">
        <v>0</v>
      </c>
      <c r="C11" s="5">
        <v>8</v>
      </c>
      <c r="E11" s="4">
        <v>0</v>
      </c>
      <c r="F11" s="4">
        <v>0</v>
      </c>
      <c r="H11" s="4">
        <v>0</v>
      </c>
      <c r="I11" s="4">
        <v>0</v>
      </c>
      <c r="K11" s="3">
        <v>0</v>
      </c>
      <c r="L11" s="3">
        <v>9.4499999999999993</v>
      </c>
      <c r="N11" s="3">
        <v>1.53</v>
      </c>
      <c r="O11" s="3">
        <v>2.67</v>
      </c>
      <c r="Q11" s="5">
        <v>56.07</v>
      </c>
      <c r="R11" s="5">
        <v>0</v>
      </c>
    </row>
    <row r="12" spans="2:18" ht="15.75" x14ac:dyDescent="0.25">
      <c r="B12" s="3">
        <v>0</v>
      </c>
      <c r="C12" s="3">
        <v>80.84</v>
      </c>
      <c r="E12" s="2">
        <v>31.94</v>
      </c>
      <c r="F12" s="4">
        <v>0</v>
      </c>
      <c r="H12" s="4">
        <v>0</v>
      </c>
      <c r="I12" s="4">
        <v>0</v>
      </c>
      <c r="K12" s="3">
        <v>0</v>
      </c>
      <c r="L12" s="3">
        <v>18.899999999999999</v>
      </c>
      <c r="N12" s="3">
        <v>25.96</v>
      </c>
      <c r="O12" s="3">
        <v>21.53</v>
      </c>
      <c r="Q12" s="5">
        <v>0</v>
      </c>
      <c r="R12" s="5">
        <v>0</v>
      </c>
    </row>
    <row r="13" spans="2:18" ht="15.75" x14ac:dyDescent="0.25">
      <c r="B13" s="3">
        <v>500.64</v>
      </c>
      <c r="C13" s="3">
        <v>730.74</v>
      </c>
      <c r="E13" s="16">
        <v>21.44</v>
      </c>
      <c r="F13" s="11">
        <v>0</v>
      </c>
      <c r="H13" s="4">
        <v>0</v>
      </c>
      <c r="I13" s="4">
        <v>0</v>
      </c>
      <c r="K13" s="3">
        <v>0</v>
      </c>
      <c r="L13" s="3">
        <v>18.899999999999999</v>
      </c>
      <c r="N13" s="3">
        <v>27.24</v>
      </c>
      <c r="O13" s="3">
        <v>20.45</v>
      </c>
      <c r="Q13" s="3">
        <v>50</v>
      </c>
      <c r="R13" s="3">
        <v>50</v>
      </c>
    </row>
    <row r="14" spans="2:18" ht="15.75" x14ac:dyDescent="0.25">
      <c r="B14" s="13">
        <v>0</v>
      </c>
      <c r="C14" s="13">
        <v>0</v>
      </c>
      <c r="E14" s="4">
        <v>17.73</v>
      </c>
      <c r="F14" s="4">
        <v>0</v>
      </c>
      <c r="H14" s="4">
        <v>0</v>
      </c>
      <c r="I14" s="4">
        <v>0</v>
      </c>
      <c r="K14" s="3">
        <v>0</v>
      </c>
      <c r="L14" s="3">
        <v>9.4499999999999993</v>
      </c>
      <c r="N14" s="3">
        <v>25.56</v>
      </c>
      <c r="O14" s="3">
        <v>21.53</v>
      </c>
      <c r="Q14" s="3">
        <v>50</v>
      </c>
      <c r="R14" s="3">
        <v>50</v>
      </c>
    </row>
    <row r="15" spans="2:18" ht="15.75" x14ac:dyDescent="0.25">
      <c r="B15" s="3">
        <v>50</v>
      </c>
      <c r="C15" s="3">
        <v>65.05</v>
      </c>
      <c r="E15" s="4">
        <v>0</v>
      </c>
      <c r="F15" s="4">
        <v>0</v>
      </c>
      <c r="H15" s="3">
        <v>0</v>
      </c>
      <c r="I15" s="3">
        <v>0</v>
      </c>
      <c r="K15" s="3">
        <v>0</v>
      </c>
      <c r="L15" s="3">
        <v>9.4499999999999993</v>
      </c>
      <c r="N15" s="3">
        <v>0</v>
      </c>
      <c r="O15" s="3">
        <v>3.58</v>
      </c>
      <c r="Q15" s="3">
        <v>35.47</v>
      </c>
      <c r="R15" s="3">
        <v>48.54</v>
      </c>
    </row>
    <row r="16" spans="2:18" ht="15.75" x14ac:dyDescent="0.25">
      <c r="B16" s="3">
        <v>49.91</v>
      </c>
      <c r="C16" s="3">
        <v>65.25</v>
      </c>
      <c r="E16" s="4">
        <v>19</v>
      </c>
      <c r="F16" s="4">
        <v>0</v>
      </c>
      <c r="H16" s="3">
        <v>0</v>
      </c>
      <c r="I16" s="3">
        <v>0</v>
      </c>
      <c r="K16" s="3">
        <v>0</v>
      </c>
      <c r="L16" s="3">
        <v>179.58</v>
      </c>
      <c r="N16" s="3">
        <v>0</v>
      </c>
      <c r="O16" s="3">
        <v>6.37</v>
      </c>
      <c r="Q16" s="3">
        <v>33.700000000000003</v>
      </c>
      <c r="R16" s="3">
        <v>50</v>
      </c>
    </row>
    <row r="17" spans="2:18" ht="15.75" x14ac:dyDescent="0.25">
      <c r="B17" s="3">
        <v>50</v>
      </c>
      <c r="C17" s="3">
        <v>65.25</v>
      </c>
      <c r="E17" s="4">
        <v>12.33</v>
      </c>
      <c r="F17" s="4">
        <v>0</v>
      </c>
      <c r="H17" s="3">
        <v>0</v>
      </c>
      <c r="I17" s="3">
        <v>0</v>
      </c>
      <c r="K17" s="3">
        <v>0</v>
      </c>
      <c r="L17" s="3">
        <v>9.4499999999999993</v>
      </c>
      <c r="N17" s="3">
        <v>41.07</v>
      </c>
      <c r="O17" s="3">
        <v>0</v>
      </c>
      <c r="Q17" s="3">
        <v>50</v>
      </c>
      <c r="R17" s="3">
        <v>50</v>
      </c>
    </row>
    <row r="18" spans="2:18" ht="15.75" x14ac:dyDescent="0.25">
      <c r="B18" s="3">
        <v>0</v>
      </c>
      <c r="C18" s="3">
        <v>0</v>
      </c>
      <c r="E18" s="4">
        <v>21.88</v>
      </c>
      <c r="F18" s="4">
        <v>0</v>
      </c>
      <c r="H18" s="3">
        <v>0</v>
      </c>
      <c r="I18" s="3">
        <v>0</v>
      </c>
      <c r="K18" s="3">
        <v>0</v>
      </c>
      <c r="L18" s="3">
        <v>9.4499999999999993</v>
      </c>
      <c r="N18" s="3">
        <v>21</v>
      </c>
      <c r="O18" s="3">
        <v>44.98</v>
      </c>
      <c r="Q18" s="3">
        <v>50</v>
      </c>
      <c r="R18" s="3">
        <v>25</v>
      </c>
    </row>
    <row r="19" spans="2:18" ht="15.75" x14ac:dyDescent="0.25">
      <c r="B19" s="3">
        <v>0</v>
      </c>
      <c r="C19" s="3">
        <v>0</v>
      </c>
      <c r="E19" s="4">
        <v>29.51</v>
      </c>
      <c r="F19" s="4">
        <v>0</v>
      </c>
      <c r="H19" s="3">
        <v>0</v>
      </c>
      <c r="I19" s="3">
        <v>0</v>
      </c>
      <c r="K19" s="3">
        <v>0</v>
      </c>
      <c r="L19" s="3">
        <v>9.4499999999999993</v>
      </c>
      <c r="N19" s="3">
        <v>21</v>
      </c>
      <c r="O19" s="3">
        <v>13</v>
      </c>
      <c r="Q19" s="3">
        <v>50</v>
      </c>
      <c r="R19" s="3">
        <v>47.5</v>
      </c>
    </row>
    <row r="20" spans="2:18" ht="15.75" x14ac:dyDescent="0.25">
      <c r="B20" s="23">
        <f>SUM(B2:B19)</f>
        <v>7120.27</v>
      </c>
      <c r="C20" s="23">
        <f>SUM(C2:C19)</f>
        <v>3426.46</v>
      </c>
      <c r="E20" s="4">
        <v>11.73</v>
      </c>
      <c r="F20" s="4">
        <v>0</v>
      </c>
      <c r="H20" s="3">
        <v>0</v>
      </c>
      <c r="I20" s="3">
        <v>0</v>
      </c>
      <c r="K20" s="3">
        <v>0</v>
      </c>
      <c r="L20" s="3">
        <v>9.4499999999999993</v>
      </c>
      <c r="N20" s="3">
        <v>21</v>
      </c>
      <c r="O20" s="3">
        <v>0</v>
      </c>
      <c r="Q20" s="23">
        <f>SUM(Q2:Q19)</f>
        <v>646.03</v>
      </c>
      <c r="R20" s="23">
        <f>SUM(R2:R19)</f>
        <v>449.55</v>
      </c>
    </row>
    <row r="21" spans="2:18" ht="15.75" x14ac:dyDescent="0.25">
      <c r="B21" s="1"/>
      <c r="E21" s="4">
        <v>38.72</v>
      </c>
      <c r="F21" s="4">
        <v>0</v>
      </c>
      <c r="H21" s="3">
        <v>0</v>
      </c>
      <c r="I21" s="3">
        <v>0</v>
      </c>
      <c r="K21" s="3">
        <v>0</v>
      </c>
      <c r="L21" s="3">
        <v>9.4499999999999993</v>
      </c>
      <c r="N21" s="3">
        <v>49.98</v>
      </c>
      <c r="O21" s="3">
        <v>44.98</v>
      </c>
    </row>
    <row r="22" spans="2:18" ht="15.75" x14ac:dyDescent="0.25">
      <c r="E22" s="4">
        <v>12.16</v>
      </c>
      <c r="F22" s="4">
        <v>0</v>
      </c>
      <c r="H22" s="3">
        <v>0</v>
      </c>
      <c r="I22" s="3">
        <v>0</v>
      </c>
      <c r="K22" s="3">
        <v>0</v>
      </c>
      <c r="L22" s="3">
        <v>18.899999999999999</v>
      </c>
      <c r="N22" s="3">
        <v>21</v>
      </c>
      <c r="O22" s="3">
        <v>0</v>
      </c>
    </row>
    <row r="23" spans="2:18" x14ac:dyDescent="0.25">
      <c r="E23" s="32">
        <f>SUM(E2:E22)</f>
        <v>478.16</v>
      </c>
      <c r="F23" s="23">
        <f>SUM(F2:F22)</f>
        <v>0</v>
      </c>
      <c r="H23" s="26">
        <f>SUM(H2:H22)</f>
        <v>137.97999999999999</v>
      </c>
      <c r="I23" s="26">
        <f>SUM(I2:I22)</f>
        <v>0</v>
      </c>
      <c r="K23" s="23">
        <f>SUM(K2:K22)</f>
        <v>0</v>
      </c>
      <c r="L23" s="23">
        <f>SUM(L2:L22)</f>
        <v>431.75999999999993</v>
      </c>
      <c r="N23" s="23">
        <f>SUM(N2:N22)</f>
        <v>255.34</v>
      </c>
      <c r="O23" s="23">
        <f>SUM(O2:O22)</f>
        <v>280.60000000000002</v>
      </c>
    </row>
    <row r="25" spans="2:18" ht="15.75" x14ac:dyDescent="0.25">
      <c r="B25" s="5">
        <v>50</v>
      </c>
      <c r="C25" s="5">
        <v>50</v>
      </c>
      <c r="E25" s="3">
        <v>0</v>
      </c>
      <c r="F25" s="3">
        <v>0</v>
      </c>
      <c r="H25" s="5">
        <v>0</v>
      </c>
      <c r="I25" s="5">
        <v>48.7</v>
      </c>
    </row>
    <row r="26" spans="2:18" ht="15.75" x14ac:dyDescent="0.25">
      <c r="B26" s="5">
        <v>0</v>
      </c>
      <c r="C26" s="5">
        <v>0</v>
      </c>
      <c r="E26" s="5">
        <v>6.6</v>
      </c>
      <c r="F26" s="5">
        <v>14.63</v>
      </c>
      <c r="H26" s="5">
        <v>0</v>
      </c>
      <c r="I26" s="5">
        <v>51.04</v>
      </c>
    </row>
    <row r="27" spans="2:18" ht="15.75" x14ac:dyDescent="0.25">
      <c r="B27" s="3">
        <v>1</v>
      </c>
      <c r="C27" s="3">
        <v>0</v>
      </c>
      <c r="E27" s="5">
        <v>250</v>
      </c>
      <c r="F27" s="5">
        <v>0</v>
      </c>
      <c r="H27" s="5">
        <v>0</v>
      </c>
      <c r="I27" s="5">
        <v>45.22</v>
      </c>
    </row>
    <row r="28" spans="2:18" ht="15.75" x14ac:dyDescent="0.25">
      <c r="B28" s="3">
        <v>0</v>
      </c>
      <c r="C28" s="3">
        <v>21.09</v>
      </c>
      <c r="E28" s="5">
        <v>0</v>
      </c>
      <c r="F28" s="5">
        <v>217.76</v>
      </c>
      <c r="H28" s="5">
        <v>0</v>
      </c>
      <c r="I28" s="5">
        <v>2.33</v>
      </c>
    </row>
    <row r="29" spans="2:18" ht="15.75" x14ac:dyDescent="0.25">
      <c r="B29" s="3">
        <v>17.04</v>
      </c>
      <c r="C29" s="3">
        <v>0</v>
      </c>
      <c r="E29" s="5">
        <v>0</v>
      </c>
      <c r="F29" s="5">
        <v>2.0299999999999998</v>
      </c>
      <c r="H29" s="5">
        <v>0</v>
      </c>
      <c r="I29" s="5">
        <v>2.33</v>
      </c>
    </row>
    <row r="30" spans="2:18" ht="15.75" x14ac:dyDescent="0.25">
      <c r="B30" s="5">
        <v>0</v>
      </c>
      <c r="C30" s="5">
        <v>0</v>
      </c>
      <c r="E30" s="5">
        <v>0</v>
      </c>
      <c r="F30" s="5">
        <v>6.81</v>
      </c>
      <c r="H30" s="5">
        <v>0</v>
      </c>
      <c r="I30" s="5">
        <v>47.69</v>
      </c>
    </row>
    <row r="31" spans="2:18" ht="15.75" x14ac:dyDescent="0.25">
      <c r="B31" s="3">
        <v>8.25</v>
      </c>
      <c r="C31" s="3">
        <v>0</v>
      </c>
      <c r="E31" s="5">
        <v>0</v>
      </c>
      <c r="F31" s="5">
        <v>649.03</v>
      </c>
      <c r="H31" s="5">
        <v>0</v>
      </c>
      <c r="I31" s="5">
        <v>35.76</v>
      </c>
    </row>
    <row r="32" spans="2:18" ht="15.75" x14ac:dyDescent="0.25">
      <c r="B32" s="3">
        <v>10.9</v>
      </c>
      <c r="C32" s="3">
        <v>10.9</v>
      </c>
      <c r="E32" s="5">
        <v>0</v>
      </c>
      <c r="F32" s="5">
        <v>2.4500000000000002</v>
      </c>
      <c r="H32" s="5">
        <v>0</v>
      </c>
      <c r="I32" s="5">
        <v>51.08</v>
      </c>
    </row>
    <row r="33" spans="2:18" ht="15.75" x14ac:dyDescent="0.25">
      <c r="B33" s="3">
        <v>0</v>
      </c>
      <c r="C33" s="3">
        <v>0</v>
      </c>
      <c r="E33" s="5">
        <v>0</v>
      </c>
      <c r="F33" s="5">
        <v>160</v>
      </c>
      <c r="H33" s="5">
        <v>0</v>
      </c>
      <c r="I33" s="5">
        <v>22.14</v>
      </c>
    </row>
    <row r="34" spans="2:18" ht="15.75" x14ac:dyDescent="0.25">
      <c r="B34" s="3">
        <v>514.62</v>
      </c>
      <c r="C34" s="3">
        <v>575.76</v>
      </c>
      <c r="E34" s="5">
        <v>0</v>
      </c>
      <c r="F34" s="5">
        <v>79.08</v>
      </c>
      <c r="H34" s="5">
        <v>0</v>
      </c>
      <c r="I34" s="5">
        <v>23.84</v>
      </c>
    </row>
    <row r="35" spans="2:18" ht="15.75" x14ac:dyDescent="0.25">
      <c r="B35" s="5">
        <v>0</v>
      </c>
      <c r="C35" s="5">
        <v>0</v>
      </c>
      <c r="E35" s="5">
        <v>1076.0999999999999</v>
      </c>
      <c r="F35" s="5">
        <v>0</v>
      </c>
      <c r="H35" s="5">
        <v>0</v>
      </c>
      <c r="I35" s="5">
        <v>35.76</v>
      </c>
    </row>
    <row r="36" spans="2:18" ht="15.75" x14ac:dyDescent="0.25">
      <c r="B36" s="5">
        <v>1.26</v>
      </c>
      <c r="C36" s="5">
        <v>0</v>
      </c>
      <c r="E36" s="5">
        <v>0</v>
      </c>
      <c r="F36" s="5">
        <v>12</v>
      </c>
      <c r="H36" s="5">
        <v>0</v>
      </c>
      <c r="I36" s="5">
        <v>51.08</v>
      </c>
    </row>
    <row r="37" spans="2:18" ht="15.75" x14ac:dyDescent="0.25">
      <c r="B37" s="3">
        <v>0</v>
      </c>
      <c r="C37" s="3">
        <v>0</v>
      </c>
      <c r="E37" s="5">
        <v>0</v>
      </c>
      <c r="F37" s="5">
        <v>39.65</v>
      </c>
      <c r="H37" s="5">
        <v>0</v>
      </c>
      <c r="I37" s="5">
        <v>35.76</v>
      </c>
    </row>
    <row r="38" spans="2:18" ht="15.75" x14ac:dyDescent="0.25">
      <c r="B38" s="3">
        <v>0</v>
      </c>
      <c r="C38" s="3">
        <v>1.63</v>
      </c>
      <c r="E38" s="5">
        <v>0</v>
      </c>
      <c r="F38" s="5">
        <v>67.05</v>
      </c>
      <c r="H38" s="5">
        <v>0</v>
      </c>
      <c r="I38" s="5">
        <v>71.17</v>
      </c>
    </row>
    <row r="39" spans="2:18" ht="15.75" x14ac:dyDescent="0.25">
      <c r="B39" s="5">
        <v>67.12</v>
      </c>
      <c r="C39" s="5">
        <v>0</v>
      </c>
      <c r="E39" s="5">
        <v>0</v>
      </c>
      <c r="F39" s="5">
        <v>47.69</v>
      </c>
      <c r="H39" s="23">
        <f>SUM(H25:H38)</f>
        <v>0</v>
      </c>
      <c r="I39" s="23">
        <f>SUM(I25:I38)</f>
        <v>523.9</v>
      </c>
    </row>
    <row r="40" spans="2:18" ht="15.75" x14ac:dyDescent="0.25">
      <c r="B40" s="5">
        <v>0</v>
      </c>
      <c r="C40" s="5">
        <v>14.95</v>
      </c>
      <c r="E40" s="5">
        <v>0</v>
      </c>
      <c r="F40" s="5">
        <v>51.08</v>
      </c>
    </row>
    <row r="41" spans="2:18" ht="15.75" x14ac:dyDescent="0.25">
      <c r="B41" s="23">
        <f>SUM(B25:B40)</f>
        <v>670.18999999999994</v>
      </c>
      <c r="C41" s="23">
        <f>SUM(C25:C40)</f>
        <v>674.33</v>
      </c>
      <c r="E41" s="5">
        <v>0</v>
      </c>
      <c r="F41" s="5">
        <v>91.51</v>
      </c>
      <c r="H41" s="33" t="s">
        <v>594</v>
      </c>
      <c r="I41" s="34">
        <f>B20+E23+H23+K23+N23+Q20+B41+E42+H39</f>
        <v>10640.670000000002</v>
      </c>
      <c r="J41" s="34">
        <f>C20+F23+I23+L23+O23+R20+C41+F42+I39</f>
        <v>7227.369999999999</v>
      </c>
    </row>
    <row r="42" spans="2:18" x14ac:dyDescent="0.25">
      <c r="E42" s="23">
        <f>SUM(E25:E41)</f>
        <v>1332.6999999999998</v>
      </c>
      <c r="F42" s="23">
        <f>SUM(F25:F41)</f>
        <v>1440.77</v>
      </c>
      <c r="I42" s="20">
        <f>I41+47491.04</f>
        <v>58131.710000000006</v>
      </c>
      <c r="J42" s="20">
        <f>J41+36261.18</f>
        <v>43488.55</v>
      </c>
    </row>
    <row r="45" spans="2:18" ht="15.75" x14ac:dyDescent="0.25">
      <c r="B45" s="3">
        <v>33.76</v>
      </c>
      <c r="C45" s="3">
        <v>0</v>
      </c>
      <c r="E45" s="6">
        <v>300.88</v>
      </c>
      <c r="F45" s="6">
        <v>286.72000000000003</v>
      </c>
      <c r="H45" s="5">
        <v>0</v>
      </c>
      <c r="I45" s="5">
        <v>50</v>
      </c>
      <c r="K45" s="3">
        <v>44.59</v>
      </c>
      <c r="L45" s="3">
        <v>24.55</v>
      </c>
      <c r="N45" s="10">
        <v>0</v>
      </c>
      <c r="O45" s="10">
        <v>0</v>
      </c>
      <c r="Q45" s="10">
        <v>4.8</v>
      </c>
      <c r="R45" s="10">
        <v>2.4</v>
      </c>
    </row>
    <row r="46" spans="2:18" ht="15.75" x14ac:dyDescent="0.25">
      <c r="B46" s="3">
        <v>37.729999999999997</v>
      </c>
      <c r="C46" s="3">
        <v>41.54</v>
      </c>
      <c r="E46" s="5">
        <v>168.66</v>
      </c>
      <c r="F46" s="5">
        <v>171</v>
      </c>
      <c r="H46" s="5">
        <v>0</v>
      </c>
      <c r="I46" s="5">
        <v>289.70999999999998</v>
      </c>
      <c r="K46" s="3">
        <v>0.93</v>
      </c>
      <c r="L46" s="3">
        <v>23.98</v>
      </c>
      <c r="N46" s="10">
        <v>1.47</v>
      </c>
      <c r="O46" s="10">
        <v>0</v>
      </c>
      <c r="Q46" s="9">
        <v>4.8</v>
      </c>
      <c r="R46" s="9">
        <v>0</v>
      </c>
    </row>
    <row r="47" spans="2:18" ht="15.75" x14ac:dyDescent="0.25">
      <c r="B47" s="3">
        <v>0</v>
      </c>
      <c r="C47" s="3">
        <v>0</v>
      </c>
      <c r="E47" s="3">
        <v>0</v>
      </c>
      <c r="F47" s="3">
        <v>583.64</v>
      </c>
      <c r="H47" s="3">
        <v>0</v>
      </c>
      <c r="I47" s="3">
        <v>0</v>
      </c>
      <c r="K47" s="3">
        <v>88.83</v>
      </c>
      <c r="L47" s="3">
        <v>25.11</v>
      </c>
      <c r="N47" s="10">
        <v>200</v>
      </c>
      <c r="O47" s="10">
        <v>200</v>
      </c>
      <c r="Q47" s="10">
        <v>0</v>
      </c>
      <c r="R47" s="10">
        <v>0</v>
      </c>
    </row>
    <row r="48" spans="2:18" ht="15.75" x14ac:dyDescent="0.25">
      <c r="B48" s="3">
        <v>41</v>
      </c>
      <c r="C48" s="3">
        <v>0</v>
      </c>
      <c r="E48" s="3">
        <v>0</v>
      </c>
      <c r="F48" s="3">
        <v>0</v>
      </c>
      <c r="H48" s="3">
        <v>29.6</v>
      </c>
      <c r="I48" s="3">
        <v>29.6</v>
      </c>
      <c r="K48" s="3">
        <v>28.32</v>
      </c>
      <c r="L48" s="3">
        <v>0</v>
      </c>
      <c r="N48" s="10">
        <v>0</v>
      </c>
      <c r="O48" s="10">
        <v>250</v>
      </c>
      <c r="Q48" s="9">
        <v>0</v>
      </c>
      <c r="R48" s="9">
        <v>0</v>
      </c>
    </row>
    <row r="49" spans="2:18" ht="15.75" x14ac:dyDescent="0.25">
      <c r="B49" s="3">
        <v>0</v>
      </c>
      <c r="C49" s="3">
        <v>3.47</v>
      </c>
      <c r="E49" s="5">
        <v>0</v>
      </c>
      <c r="F49" s="5">
        <v>0</v>
      </c>
      <c r="H49" s="3">
        <v>30.55</v>
      </c>
      <c r="I49" s="3">
        <v>16.25</v>
      </c>
      <c r="K49" s="3">
        <v>39.200000000000003</v>
      </c>
      <c r="L49" s="3">
        <v>32.450000000000003</v>
      </c>
      <c r="N49" s="9">
        <v>0</v>
      </c>
      <c r="O49" s="9">
        <v>250</v>
      </c>
      <c r="Q49" s="9">
        <v>2.5</v>
      </c>
      <c r="R49" s="9">
        <v>0</v>
      </c>
    </row>
    <row r="50" spans="2:18" ht="15.75" x14ac:dyDescent="0.25">
      <c r="B50" s="3">
        <v>0</v>
      </c>
      <c r="C50" s="3">
        <v>9.61</v>
      </c>
      <c r="E50" s="3">
        <v>0</v>
      </c>
      <c r="F50" s="3">
        <v>0</v>
      </c>
      <c r="H50" s="5">
        <v>5</v>
      </c>
      <c r="I50" s="5">
        <v>0</v>
      </c>
      <c r="K50" s="3">
        <v>0</v>
      </c>
      <c r="L50" s="3">
        <v>13.41</v>
      </c>
      <c r="N50" s="9">
        <v>0</v>
      </c>
      <c r="O50" s="9">
        <v>500</v>
      </c>
      <c r="Q50" s="10">
        <v>0.73</v>
      </c>
      <c r="R50" s="10">
        <v>0</v>
      </c>
    </row>
    <row r="51" spans="2:18" ht="15.75" x14ac:dyDescent="0.25">
      <c r="B51" s="3">
        <v>0</v>
      </c>
      <c r="C51" s="3">
        <v>54</v>
      </c>
      <c r="E51" s="3">
        <v>382.52</v>
      </c>
      <c r="F51" s="3">
        <v>181.88</v>
      </c>
      <c r="H51" s="3">
        <v>0</v>
      </c>
      <c r="I51" s="3">
        <v>0</v>
      </c>
      <c r="K51" s="3">
        <v>13.63</v>
      </c>
      <c r="L51" s="3">
        <v>27.59</v>
      </c>
      <c r="N51" s="9">
        <v>0</v>
      </c>
      <c r="O51" s="9">
        <v>500</v>
      </c>
      <c r="Q51" s="10">
        <v>21.38</v>
      </c>
      <c r="R51" s="10">
        <v>0</v>
      </c>
    </row>
    <row r="52" spans="2:18" ht="15.75" x14ac:dyDescent="0.25">
      <c r="B52" s="3">
        <v>0</v>
      </c>
      <c r="C52" s="3">
        <v>6</v>
      </c>
      <c r="E52" s="3">
        <v>237.73</v>
      </c>
      <c r="F52" s="3">
        <v>0</v>
      </c>
      <c r="H52" s="5">
        <v>160.41</v>
      </c>
      <c r="I52" s="5">
        <v>325.11</v>
      </c>
      <c r="K52" s="3">
        <v>20.74</v>
      </c>
      <c r="L52" s="3">
        <v>27.35</v>
      </c>
      <c r="N52" s="10">
        <v>0</v>
      </c>
      <c r="O52" s="10">
        <v>0</v>
      </c>
      <c r="Q52" s="10">
        <v>1</v>
      </c>
      <c r="R52" s="10">
        <v>0</v>
      </c>
    </row>
    <row r="53" spans="2:18" ht="15.75" x14ac:dyDescent="0.25">
      <c r="B53" s="3">
        <v>0</v>
      </c>
      <c r="C53" s="3">
        <v>18.5</v>
      </c>
      <c r="E53" s="3">
        <v>2.4</v>
      </c>
      <c r="F53" s="3">
        <v>0</v>
      </c>
      <c r="H53" s="3">
        <v>0</v>
      </c>
      <c r="I53" s="3">
        <v>0</v>
      </c>
      <c r="K53" s="3">
        <v>34.549999999999997</v>
      </c>
      <c r="L53" s="3">
        <v>20.92</v>
      </c>
      <c r="N53" s="10">
        <v>0</v>
      </c>
      <c r="O53" s="10">
        <v>5</v>
      </c>
      <c r="Q53" s="10">
        <v>21.38</v>
      </c>
      <c r="R53" s="10">
        <v>0</v>
      </c>
    </row>
    <row r="54" spans="2:18" ht="15.75" x14ac:dyDescent="0.25">
      <c r="B54" s="3">
        <v>0</v>
      </c>
      <c r="C54" s="3">
        <v>13.28</v>
      </c>
      <c r="E54" s="3">
        <v>357.91</v>
      </c>
      <c r="F54" s="3">
        <v>2357.25</v>
      </c>
      <c r="H54" s="5">
        <v>3.82</v>
      </c>
      <c r="I54" s="5">
        <v>0</v>
      </c>
      <c r="K54" s="3">
        <v>18.04</v>
      </c>
      <c r="L54" s="3">
        <v>3.96</v>
      </c>
      <c r="N54" s="10">
        <v>0</v>
      </c>
      <c r="O54" s="10">
        <v>2.2000000000000002</v>
      </c>
      <c r="Q54" s="10">
        <v>1</v>
      </c>
      <c r="R54" s="10">
        <v>0</v>
      </c>
    </row>
    <row r="55" spans="2:18" ht="15.75" x14ac:dyDescent="0.25">
      <c r="B55" s="3">
        <v>0</v>
      </c>
      <c r="C55" s="3">
        <v>10.4</v>
      </c>
      <c r="E55" s="3">
        <v>5</v>
      </c>
      <c r="F55" s="3">
        <v>5</v>
      </c>
      <c r="H55" s="3">
        <v>0</v>
      </c>
      <c r="I55" s="3">
        <v>28</v>
      </c>
      <c r="K55" s="3">
        <v>91.88</v>
      </c>
      <c r="L55" s="3">
        <v>151.72</v>
      </c>
      <c r="N55" s="10">
        <v>0</v>
      </c>
      <c r="O55" s="10">
        <v>1.5</v>
      </c>
      <c r="Q55" s="10">
        <v>21.38</v>
      </c>
      <c r="R55" s="10">
        <v>0</v>
      </c>
    </row>
    <row r="56" spans="2:18" ht="15.75" x14ac:dyDescent="0.25">
      <c r="B56" s="3">
        <v>0</v>
      </c>
      <c r="C56" s="3">
        <v>41</v>
      </c>
      <c r="E56" s="3">
        <v>7</v>
      </c>
      <c r="F56" s="3">
        <v>0</v>
      </c>
      <c r="H56" s="3">
        <v>37.89</v>
      </c>
      <c r="I56" s="3">
        <v>153.35</v>
      </c>
      <c r="K56" s="3">
        <v>46.45</v>
      </c>
      <c r="L56" s="3">
        <v>51.65</v>
      </c>
      <c r="N56" s="10">
        <v>0</v>
      </c>
      <c r="O56" s="10">
        <v>1.5</v>
      </c>
      <c r="Q56" s="10">
        <v>21.38</v>
      </c>
      <c r="R56" s="10">
        <v>0</v>
      </c>
    </row>
    <row r="57" spans="2:18" ht="15.75" x14ac:dyDescent="0.25">
      <c r="B57" s="3">
        <v>0</v>
      </c>
      <c r="C57" s="3">
        <v>0</v>
      </c>
      <c r="E57" s="3">
        <v>2.65</v>
      </c>
      <c r="F57" s="3">
        <v>10.59</v>
      </c>
      <c r="H57" s="5">
        <v>15.15</v>
      </c>
      <c r="I57" s="5">
        <v>19.75</v>
      </c>
      <c r="K57" s="3">
        <v>13.62</v>
      </c>
      <c r="L57" s="3">
        <v>8.6</v>
      </c>
      <c r="N57" s="10">
        <v>0</v>
      </c>
      <c r="O57" s="10">
        <v>3.7</v>
      </c>
      <c r="Q57" s="10">
        <v>1</v>
      </c>
      <c r="R57" s="10">
        <v>0</v>
      </c>
    </row>
    <row r="58" spans="2:18" ht="15.75" x14ac:dyDescent="0.25">
      <c r="B58" s="3">
        <v>0</v>
      </c>
      <c r="C58" s="3">
        <v>0</v>
      </c>
      <c r="E58" s="3">
        <v>121.2</v>
      </c>
      <c r="F58" s="3">
        <v>0</v>
      </c>
      <c r="H58" s="5">
        <v>9.5</v>
      </c>
      <c r="I58" s="5">
        <v>0</v>
      </c>
      <c r="K58" s="5">
        <v>3.05</v>
      </c>
      <c r="L58" s="5">
        <v>151.86000000000001</v>
      </c>
      <c r="N58" s="10">
        <v>0</v>
      </c>
      <c r="O58" s="10">
        <v>1.5</v>
      </c>
      <c r="Q58" s="10">
        <v>0</v>
      </c>
      <c r="R58" s="10">
        <v>0</v>
      </c>
    </row>
    <row r="59" spans="2:18" ht="15.75" x14ac:dyDescent="0.25">
      <c r="B59" s="3">
        <v>507.67</v>
      </c>
      <c r="C59" s="3">
        <v>99.33</v>
      </c>
      <c r="E59" s="3">
        <v>500</v>
      </c>
      <c r="F59" s="3">
        <v>0</v>
      </c>
      <c r="H59" s="5">
        <v>87.81</v>
      </c>
      <c r="I59" s="5">
        <v>142.59</v>
      </c>
      <c r="K59" s="5">
        <v>2.06</v>
      </c>
      <c r="L59" s="5">
        <v>30.89</v>
      </c>
      <c r="N59" s="24">
        <f>SUM(N45:N58)</f>
        <v>201.47</v>
      </c>
      <c r="O59" s="24">
        <f>SUM(O45:O58)</f>
        <v>1715.4</v>
      </c>
      <c r="Q59" s="9">
        <v>0</v>
      </c>
      <c r="R59" s="9">
        <v>0</v>
      </c>
    </row>
    <row r="60" spans="2:18" ht="15.75" x14ac:dyDescent="0.25">
      <c r="B60" s="3">
        <v>0</v>
      </c>
      <c r="C60" s="3">
        <v>0</v>
      </c>
      <c r="E60" s="3">
        <v>0</v>
      </c>
      <c r="F60" s="3">
        <v>4.8</v>
      </c>
      <c r="H60" s="5">
        <v>0</v>
      </c>
      <c r="I60" s="5">
        <v>39.770000000000003</v>
      </c>
      <c r="K60" s="5">
        <v>0</v>
      </c>
      <c r="L60" s="5">
        <v>24.53</v>
      </c>
      <c r="Q60" s="10">
        <v>0</v>
      </c>
      <c r="R60" s="10">
        <v>0</v>
      </c>
    </row>
    <row r="61" spans="2:18" ht="15.75" x14ac:dyDescent="0.25">
      <c r="B61" s="3">
        <v>300</v>
      </c>
      <c r="C61" s="3">
        <v>583.6</v>
      </c>
      <c r="E61" s="3">
        <v>0</v>
      </c>
      <c r="F61" s="3">
        <v>100</v>
      </c>
      <c r="H61" s="23">
        <f>SUM(H45:H60)</f>
        <v>379.72999999999996</v>
      </c>
      <c r="I61" s="23">
        <f>SUM(I45:I60)</f>
        <v>1094.1300000000001</v>
      </c>
      <c r="K61" s="5">
        <v>273.98</v>
      </c>
      <c r="L61" s="5">
        <v>0</v>
      </c>
      <c r="Q61" s="10">
        <v>1</v>
      </c>
      <c r="R61" s="10">
        <v>0</v>
      </c>
    </row>
    <row r="62" spans="2:18" ht="15.75" x14ac:dyDescent="0.25">
      <c r="B62" s="3">
        <v>1.07</v>
      </c>
      <c r="C62" s="3">
        <v>0</v>
      </c>
      <c r="E62" s="3">
        <v>0</v>
      </c>
      <c r="F62" s="3">
        <v>1.41</v>
      </c>
      <c r="K62" s="5">
        <v>0</v>
      </c>
      <c r="L62" s="5">
        <v>258.88</v>
      </c>
      <c r="Q62" s="24">
        <f>SUM(Q45:Q61)</f>
        <v>102.35</v>
      </c>
      <c r="R62" s="24">
        <f>SUM(R45:R61)</f>
        <v>2.4</v>
      </c>
    </row>
    <row r="63" spans="2:18" ht="15.75" x14ac:dyDescent="0.25">
      <c r="B63" s="3">
        <v>116</v>
      </c>
      <c r="C63" s="3">
        <v>0</v>
      </c>
      <c r="E63" s="3">
        <v>0</v>
      </c>
      <c r="F63" s="3">
        <v>30</v>
      </c>
      <c r="K63" s="23">
        <f>SUM(K45:K62)</f>
        <v>719.87000000000012</v>
      </c>
      <c r="L63" s="23">
        <f>SUM(L45:L62)</f>
        <v>877.45</v>
      </c>
    </row>
    <row r="64" spans="2:18" ht="15.75" x14ac:dyDescent="0.25">
      <c r="B64" s="19">
        <v>124</v>
      </c>
      <c r="C64" s="6">
        <v>0</v>
      </c>
      <c r="E64" s="3">
        <v>7.9</v>
      </c>
      <c r="F64" s="3">
        <v>0</v>
      </c>
    </row>
    <row r="65" spans="2:18" ht="15.75" x14ac:dyDescent="0.25">
      <c r="B65" s="6">
        <v>0</v>
      </c>
      <c r="C65" s="6">
        <v>0</v>
      </c>
      <c r="E65" s="26">
        <f>SUM(E45:E64)</f>
        <v>2093.8500000000004</v>
      </c>
      <c r="F65" s="26">
        <f>SUM(F45:F64)</f>
        <v>3732.2900000000004</v>
      </c>
    </row>
    <row r="66" spans="2:18" ht="15.75" x14ac:dyDescent="0.25">
      <c r="B66" s="6">
        <v>0</v>
      </c>
      <c r="C66" s="6">
        <v>0</v>
      </c>
    </row>
    <row r="67" spans="2:18" x14ac:dyDescent="0.25">
      <c r="B67" s="23">
        <f>SUM(B45:B66)</f>
        <v>1161.23</v>
      </c>
      <c r="C67" s="23">
        <f>SUM(C45:C66)</f>
        <v>880.73</v>
      </c>
    </row>
    <row r="69" spans="2:18" ht="15.75" x14ac:dyDescent="0.25">
      <c r="B69" s="5">
        <v>0</v>
      </c>
      <c r="C69" s="5">
        <v>0</v>
      </c>
      <c r="E69" s="13">
        <v>1187.17</v>
      </c>
      <c r="F69" s="13">
        <v>0</v>
      </c>
      <c r="H69" s="4">
        <v>0</v>
      </c>
      <c r="I69" s="3">
        <v>11.74</v>
      </c>
      <c r="K69" s="4">
        <v>0</v>
      </c>
      <c r="L69" s="4">
        <v>0</v>
      </c>
      <c r="N69" s="11">
        <v>0</v>
      </c>
      <c r="O69" s="11">
        <v>4.5999999999999996</v>
      </c>
      <c r="Q69" s="11">
        <v>0</v>
      </c>
      <c r="R69" s="11">
        <v>6.96</v>
      </c>
    </row>
    <row r="70" spans="2:18" ht="15.75" x14ac:dyDescent="0.25">
      <c r="B70" s="3">
        <v>0</v>
      </c>
      <c r="C70" s="3">
        <v>0</v>
      </c>
      <c r="E70" s="3">
        <v>0</v>
      </c>
      <c r="F70" s="3">
        <v>0</v>
      </c>
      <c r="H70" s="5">
        <v>0</v>
      </c>
      <c r="I70" s="5">
        <v>0</v>
      </c>
      <c r="K70" s="4">
        <v>25.11</v>
      </c>
      <c r="L70" s="4">
        <v>0</v>
      </c>
      <c r="N70" s="11">
        <v>7.5</v>
      </c>
      <c r="O70" s="11">
        <v>0</v>
      </c>
      <c r="Q70" s="4">
        <v>6.58</v>
      </c>
      <c r="R70" s="4">
        <v>6.24</v>
      </c>
    </row>
    <row r="71" spans="2:18" ht="15.75" x14ac:dyDescent="0.25">
      <c r="B71" s="3">
        <v>0</v>
      </c>
      <c r="C71" s="3">
        <v>0</v>
      </c>
      <c r="E71" s="3">
        <v>0</v>
      </c>
      <c r="F71" s="3">
        <v>2.4500000000000002</v>
      </c>
      <c r="H71" s="4">
        <v>2</v>
      </c>
      <c r="I71" s="4">
        <v>0</v>
      </c>
      <c r="K71" s="4">
        <v>0</v>
      </c>
      <c r="L71" s="4">
        <v>15</v>
      </c>
      <c r="N71" s="11">
        <v>7.5</v>
      </c>
      <c r="O71" s="11">
        <v>0</v>
      </c>
      <c r="Q71" s="4">
        <v>0</v>
      </c>
      <c r="R71" s="4">
        <v>0</v>
      </c>
    </row>
    <row r="72" spans="2:18" ht="15.75" x14ac:dyDescent="0.25">
      <c r="B72" s="3">
        <v>0</v>
      </c>
      <c r="C72" s="3">
        <v>0</v>
      </c>
      <c r="E72" s="3">
        <v>0</v>
      </c>
      <c r="F72" s="3">
        <v>0.89</v>
      </c>
      <c r="H72" s="4">
        <v>2</v>
      </c>
      <c r="I72" s="4">
        <v>0</v>
      </c>
      <c r="K72" s="4">
        <v>0</v>
      </c>
      <c r="L72" s="4">
        <v>0</v>
      </c>
      <c r="N72" s="11">
        <v>0</v>
      </c>
      <c r="O72" s="11">
        <v>7.5</v>
      </c>
      <c r="Q72" s="4">
        <v>3.62</v>
      </c>
      <c r="R72" s="4">
        <v>1.5</v>
      </c>
    </row>
    <row r="73" spans="2:18" ht="15.75" x14ac:dyDescent="0.25">
      <c r="B73" s="3">
        <v>0</v>
      </c>
      <c r="C73" s="3">
        <v>0</v>
      </c>
      <c r="E73" s="5">
        <v>0</v>
      </c>
      <c r="F73" s="5">
        <v>3.71</v>
      </c>
      <c r="H73" s="4">
        <v>0</v>
      </c>
      <c r="I73" s="4">
        <v>2.48</v>
      </c>
      <c r="K73" s="11">
        <v>11.1</v>
      </c>
      <c r="L73" s="11">
        <v>0</v>
      </c>
      <c r="N73" s="11">
        <v>0.38</v>
      </c>
      <c r="O73" s="11">
        <v>1.32</v>
      </c>
      <c r="Q73" s="4">
        <v>0</v>
      </c>
      <c r="R73" s="4">
        <v>9.9</v>
      </c>
    </row>
    <row r="74" spans="2:18" ht="15.75" x14ac:dyDescent="0.25">
      <c r="B74" s="3">
        <v>0.75</v>
      </c>
      <c r="C74" s="3">
        <v>0</v>
      </c>
      <c r="E74" s="5">
        <v>0</v>
      </c>
      <c r="F74" s="5">
        <v>1.72</v>
      </c>
      <c r="H74" s="4">
        <v>0</v>
      </c>
      <c r="I74" s="4">
        <v>4.74</v>
      </c>
      <c r="K74" s="4">
        <v>11.25</v>
      </c>
      <c r="L74" s="4">
        <v>0</v>
      </c>
      <c r="N74" s="4">
        <v>0</v>
      </c>
      <c r="O74" s="4">
        <v>5.52</v>
      </c>
      <c r="Q74" s="4">
        <v>8.4</v>
      </c>
      <c r="R74" s="4">
        <v>8.4</v>
      </c>
    </row>
    <row r="75" spans="2:18" ht="15.75" x14ac:dyDescent="0.25">
      <c r="B75" s="4">
        <v>0</v>
      </c>
      <c r="C75" s="3">
        <v>0.27</v>
      </c>
      <c r="E75" s="5">
        <v>5.18</v>
      </c>
      <c r="F75" s="5">
        <v>0</v>
      </c>
      <c r="H75" s="5">
        <v>0</v>
      </c>
      <c r="I75" s="5">
        <v>0</v>
      </c>
      <c r="K75" s="4">
        <v>0</v>
      </c>
      <c r="L75" s="4">
        <v>34.76</v>
      </c>
      <c r="N75" s="4">
        <v>0</v>
      </c>
      <c r="O75" s="4">
        <v>0</v>
      </c>
      <c r="Q75" s="5">
        <v>0</v>
      </c>
      <c r="R75" s="5">
        <v>0</v>
      </c>
    </row>
    <row r="76" spans="2:18" ht="15.75" x14ac:dyDescent="0.25">
      <c r="B76" s="4">
        <v>0</v>
      </c>
      <c r="C76" s="3">
        <v>4.75</v>
      </c>
      <c r="E76" s="4">
        <v>0</v>
      </c>
      <c r="F76" s="3">
        <v>3.65</v>
      </c>
      <c r="H76" s="3">
        <v>0</v>
      </c>
      <c r="I76" s="3">
        <v>0</v>
      </c>
      <c r="K76" s="4">
        <v>14.32</v>
      </c>
      <c r="L76" s="4">
        <v>0</v>
      </c>
      <c r="N76" s="4">
        <v>0</v>
      </c>
      <c r="O76" s="4">
        <v>0</v>
      </c>
      <c r="Q76" s="3">
        <v>2.4500000000000002</v>
      </c>
      <c r="R76" s="3">
        <v>0</v>
      </c>
    </row>
    <row r="77" spans="2:18" ht="15.75" x14ac:dyDescent="0.25">
      <c r="B77" s="4">
        <v>0</v>
      </c>
      <c r="C77" s="3">
        <v>0.75</v>
      </c>
      <c r="E77" s="11">
        <v>0</v>
      </c>
      <c r="F77" s="5">
        <v>2.36</v>
      </c>
      <c r="H77" s="3">
        <v>114.13</v>
      </c>
      <c r="I77" s="3">
        <v>0</v>
      </c>
      <c r="K77" s="4">
        <v>0</v>
      </c>
      <c r="L77" s="4">
        <v>6</v>
      </c>
      <c r="N77" s="4">
        <v>2</v>
      </c>
      <c r="O77" s="4">
        <v>0</v>
      </c>
      <c r="Q77" s="3">
        <v>0.5</v>
      </c>
      <c r="R77" s="3">
        <v>0</v>
      </c>
    </row>
    <row r="78" spans="2:18" ht="15.75" x14ac:dyDescent="0.25">
      <c r="B78" s="11">
        <v>0</v>
      </c>
      <c r="C78" s="5">
        <v>1.5</v>
      </c>
      <c r="E78" s="4">
        <v>0</v>
      </c>
      <c r="F78" s="3">
        <v>2.36</v>
      </c>
      <c r="H78" s="3">
        <v>135.52000000000001</v>
      </c>
      <c r="I78" s="3">
        <v>179.29</v>
      </c>
      <c r="K78" s="4">
        <v>130</v>
      </c>
      <c r="L78" s="4">
        <v>304.5</v>
      </c>
      <c r="N78" s="4">
        <v>17</v>
      </c>
      <c r="O78" s="4">
        <v>0</v>
      </c>
      <c r="Q78" s="3">
        <v>0</v>
      </c>
      <c r="R78" s="3">
        <v>5.52</v>
      </c>
    </row>
    <row r="79" spans="2:18" ht="15.75" x14ac:dyDescent="0.25">
      <c r="B79" s="4">
        <v>0</v>
      </c>
      <c r="C79" s="3">
        <v>0.63</v>
      </c>
      <c r="E79" s="4">
        <v>0</v>
      </c>
      <c r="F79" s="3">
        <v>2.36</v>
      </c>
      <c r="H79" s="3">
        <v>15.35</v>
      </c>
      <c r="I79" s="3">
        <v>0</v>
      </c>
      <c r="K79" s="4">
        <v>19.07</v>
      </c>
      <c r="L79" s="4">
        <v>6.6</v>
      </c>
      <c r="N79" s="11">
        <v>1.06</v>
      </c>
      <c r="O79" s="11">
        <v>0</v>
      </c>
      <c r="Q79" s="3">
        <v>0.31</v>
      </c>
      <c r="R79" s="3">
        <v>7.44</v>
      </c>
    </row>
    <row r="80" spans="2:18" ht="15.75" x14ac:dyDescent="0.25">
      <c r="B80" s="11">
        <v>0</v>
      </c>
      <c r="C80" s="5">
        <v>0.75</v>
      </c>
      <c r="E80" s="11">
        <v>0</v>
      </c>
      <c r="F80" s="5">
        <v>2.36</v>
      </c>
      <c r="H80" s="3">
        <v>0</v>
      </c>
      <c r="I80" s="3">
        <v>0</v>
      </c>
      <c r="K80" s="4">
        <v>25.5</v>
      </c>
      <c r="L80" s="4">
        <v>3</v>
      </c>
      <c r="N80" s="4">
        <v>0</v>
      </c>
      <c r="O80" s="4">
        <v>0</v>
      </c>
      <c r="Q80" s="3">
        <v>2.76</v>
      </c>
      <c r="R80" s="3">
        <v>2.64</v>
      </c>
    </row>
    <row r="81" spans="2:18" ht="15.75" x14ac:dyDescent="0.25">
      <c r="B81" s="4">
        <v>0</v>
      </c>
      <c r="C81" s="3">
        <v>6.49</v>
      </c>
      <c r="E81" s="11">
        <v>0</v>
      </c>
      <c r="F81" s="5">
        <v>2.36</v>
      </c>
      <c r="H81" s="3">
        <v>5.5</v>
      </c>
      <c r="I81" s="3">
        <v>0</v>
      </c>
      <c r="K81" s="11">
        <v>11.27</v>
      </c>
      <c r="L81" s="11">
        <v>0</v>
      </c>
      <c r="N81" s="4">
        <v>2.76</v>
      </c>
      <c r="O81" s="4">
        <v>3.14</v>
      </c>
      <c r="Q81" s="3">
        <v>0</v>
      </c>
      <c r="R81" s="3">
        <v>0.25</v>
      </c>
    </row>
    <row r="82" spans="2:18" ht="15.75" x14ac:dyDescent="0.25">
      <c r="B82" s="5">
        <v>0</v>
      </c>
      <c r="C82" s="5">
        <v>0</v>
      </c>
      <c r="E82" s="11">
        <v>0</v>
      </c>
      <c r="F82" s="5">
        <v>2.36</v>
      </c>
      <c r="H82" s="3">
        <v>4.0199999999999996</v>
      </c>
      <c r="I82" s="3">
        <v>0</v>
      </c>
      <c r="K82" s="4">
        <v>1.08</v>
      </c>
      <c r="L82" s="4">
        <v>0</v>
      </c>
      <c r="N82" s="4">
        <v>4.92</v>
      </c>
      <c r="O82" s="4">
        <v>0</v>
      </c>
      <c r="Q82" s="3">
        <v>28.32</v>
      </c>
      <c r="R82" s="3">
        <v>0.63</v>
      </c>
    </row>
    <row r="83" spans="2:18" ht="15.75" x14ac:dyDescent="0.25">
      <c r="B83" s="5">
        <v>0</v>
      </c>
      <c r="C83" s="5">
        <v>0</v>
      </c>
      <c r="E83" s="4">
        <v>0</v>
      </c>
      <c r="F83" s="3">
        <v>0</v>
      </c>
      <c r="H83" s="3">
        <v>12.13</v>
      </c>
      <c r="I83" s="3">
        <v>0</v>
      </c>
      <c r="K83" s="4">
        <v>1.92</v>
      </c>
      <c r="L83" s="4">
        <v>7.9</v>
      </c>
      <c r="N83" s="4">
        <v>5.2</v>
      </c>
      <c r="O83" s="4">
        <v>0</v>
      </c>
      <c r="Q83" s="3">
        <v>18.649999999999999</v>
      </c>
      <c r="R83" s="3">
        <v>22.28</v>
      </c>
    </row>
    <row r="84" spans="2:18" ht="15.75" x14ac:dyDescent="0.25">
      <c r="B84" s="23">
        <f>SUM(B69:B83)</f>
        <v>0.75</v>
      </c>
      <c r="C84" s="31">
        <f>SUM(C68:C83)</f>
        <v>15.139999999999999</v>
      </c>
      <c r="E84" s="4">
        <v>0</v>
      </c>
      <c r="F84" s="3">
        <v>0</v>
      </c>
      <c r="H84" s="3">
        <v>19.93</v>
      </c>
      <c r="I84" s="3">
        <v>0</v>
      </c>
      <c r="K84" s="4">
        <v>2.93</v>
      </c>
      <c r="L84" s="4">
        <v>11.9</v>
      </c>
      <c r="N84" s="4">
        <v>22.95</v>
      </c>
      <c r="O84" s="4">
        <v>0</v>
      </c>
      <c r="Q84" s="3">
        <v>6.8</v>
      </c>
      <c r="R84" s="3">
        <v>4.8</v>
      </c>
    </row>
    <row r="85" spans="2:18" ht="15.75" x14ac:dyDescent="0.25">
      <c r="E85" s="23">
        <f>SUM(E69:E84)</f>
        <v>1192.3500000000001</v>
      </c>
      <c r="F85" s="23">
        <f>SUM(F69:F84)</f>
        <v>26.58</v>
      </c>
      <c r="H85" s="3">
        <v>0</v>
      </c>
      <c r="I85" s="3">
        <v>8</v>
      </c>
      <c r="K85" s="4">
        <v>6.92</v>
      </c>
      <c r="L85" s="4">
        <v>0</v>
      </c>
      <c r="N85" s="4">
        <v>8.9</v>
      </c>
      <c r="O85" s="4">
        <v>7.8</v>
      </c>
      <c r="Q85" s="3">
        <v>3.5</v>
      </c>
      <c r="R85" s="3">
        <v>0</v>
      </c>
    </row>
    <row r="86" spans="2:18" ht="15.75" x14ac:dyDescent="0.25">
      <c r="H86" s="3">
        <v>0</v>
      </c>
      <c r="I86" s="3">
        <v>9</v>
      </c>
      <c r="K86" s="11">
        <v>11</v>
      </c>
      <c r="L86" s="11">
        <v>33.49</v>
      </c>
      <c r="N86" s="4">
        <v>2.7</v>
      </c>
      <c r="O86" s="4">
        <v>13.83</v>
      </c>
      <c r="Q86" s="3">
        <v>8.4</v>
      </c>
      <c r="R86" s="3">
        <v>0</v>
      </c>
    </row>
    <row r="87" spans="2:18" ht="15.75" x14ac:dyDescent="0.25">
      <c r="H87" s="4">
        <v>0</v>
      </c>
      <c r="I87" s="4">
        <v>0</v>
      </c>
      <c r="K87" s="11">
        <v>0</v>
      </c>
      <c r="L87" s="11">
        <v>3.62</v>
      </c>
      <c r="N87" s="4">
        <v>7.48</v>
      </c>
      <c r="O87" s="4">
        <v>4.8</v>
      </c>
      <c r="Q87" s="3">
        <v>13.14</v>
      </c>
      <c r="R87" s="3">
        <v>12.12</v>
      </c>
    </row>
    <row r="88" spans="2:18" ht="15.75" x14ac:dyDescent="0.25">
      <c r="H88" s="26">
        <f>SUM(H69:H87)</f>
        <v>310.58</v>
      </c>
      <c r="I88" s="23">
        <f>SUM(I69:I87)</f>
        <v>215.25</v>
      </c>
      <c r="K88" s="11">
        <v>0</v>
      </c>
      <c r="L88" s="11">
        <v>15</v>
      </c>
      <c r="N88" s="26">
        <f>SUM(N69:N87)</f>
        <v>90.350000000000023</v>
      </c>
      <c r="O88" s="26">
        <f>SUM(O69:O87)</f>
        <v>48.51</v>
      </c>
      <c r="Q88" s="26">
        <f>SUM(Q69:Q87)</f>
        <v>103.43</v>
      </c>
      <c r="R88" s="26">
        <f>SUM(R69:R87)</f>
        <v>88.679999999999993</v>
      </c>
    </row>
    <row r="89" spans="2:18" ht="15.75" x14ac:dyDescent="0.25">
      <c r="K89" s="11">
        <v>0</v>
      </c>
      <c r="L89" s="11">
        <v>0</v>
      </c>
    </row>
    <row r="90" spans="2:18" x14ac:dyDescent="0.25">
      <c r="K90" s="26">
        <f>SUM(K69:K89)</f>
        <v>271.47000000000003</v>
      </c>
      <c r="L90" s="26">
        <f>SUM(L69:L89)</f>
        <v>441.77</v>
      </c>
    </row>
    <row r="92" spans="2:18" ht="15.75" x14ac:dyDescent="0.25">
      <c r="B92" s="5">
        <v>17.04</v>
      </c>
      <c r="C92" s="5">
        <v>24.92</v>
      </c>
      <c r="E92" s="4">
        <v>5.53</v>
      </c>
      <c r="F92" s="4">
        <v>2.63</v>
      </c>
      <c r="H92" s="4">
        <v>0</v>
      </c>
      <c r="I92" s="4">
        <v>0.38</v>
      </c>
      <c r="K92" s="4">
        <v>0</v>
      </c>
      <c r="L92" s="4">
        <v>1.1299999999999999</v>
      </c>
      <c r="N92" s="4">
        <v>0.5</v>
      </c>
      <c r="O92" s="4">
        <v>0</v>
      </c>
      <c r="Q92" s="4">
        <v>3.98</v>
      </c>
      <c r="R92" s="4">
        <v>0</v>
      </c>
    </row>
    <row r="93" spans="2:18" ht="15.75" x14ac:dyDescent="0.25">
      <c r="B93" s="5">
        <v>0</v>
      </c>
      <c r="C93" s="5">
        <v>1.1299999999999999</v>
      </c>
      <c r="E93" s="4">
        <v>4.1399999999999997</v>
      </c>
      <c r="F93" s="4">
        <v>4.33</v>
      </c>
      <c r="H93" s="4">
        <v>0.75</v>
      </c>
      <c r="I93" s="4">
        <v>0.5</v>
      </c>
      <c r="K93" s="4">
        <v>0</v>
      </c>
      <c r="L93" s="4">
        <v>0</v>
      </c>
      <c r="N93" s="4">
        <v>0.25</v>
      </c>
      <c r="O93" s="4">
        <v>0</v>
      </c>
      <c r="Q93" s="4">
        <v>2</v>
      </c>
      <c r="R93" s="4">
        <v>0</v>
      </c>
    </row>
    <row r="94" spans="2:18" ht="15.75" x14ac:dyDescent="0.25">
      <c r="B94" s="5">
        <v>1.89</v>
      </c>
      <c r="C94" s="5">
        <v>0</v>
      </c>
      <c r="E94" s="4">
        <v>2.81</v>
      </c>
      <c r="F94" s="4">
        <v>3.96</v>
      </c>
      <c r="H94" s="4">
        <v>0.38</v>
      </c>
      <c r="I94" s="4">
        <v>0</v>
      </c>
      <c r="K94" s="4">
        <v>7.03</v>
      </c>
      <c r="L94" s="4">
        <v>2.64</v>
      </c>
      <c r="N94" s="4">
        <v>0.75</v>
      </c>
      <c r="O94" s="4">
        <v>0</v>
      </c>
      <c r="Q94" s="4">
        <v>1.5</v>
      </c>
      <c r="R94" s="4">
        <v>0</v>
      </c>
    </row>
    <row r="95" spans="2:18" ht="15.75" x14ac:dyDescent="0.25">
      <c r="B95" s="5">
        <v>0</v>
      </c>
      <c r="C95" s="5">
        <v>1.92</v>
      </c>
      <c r="E95" s="4">
        <v>5.98</v>
      </c>
      <c r="F95" s="4">
        <v>0</v>
      </c>
      <c r="H95" s="4">
        <v>0.5</v>
      </c>
      <c r="I95" s="4">
        <v>1.5</v>
      </c>
      <c r="K95" s="4">
        <v>9.6</v>
      </c>
      <c r="L95" s="4">
        <v>0</v>
      </c>
      <c r="N95" s="4">
        <v>0</v>
      </c>
      <c r="O95" s="4">
        <v>0</v>
      </c>
      <c r="Q95" s="4">
        <v>0</v>
      </c>
      <c r="R95" s="4">
        <v>0.2</v>
      </c>
    </row>
    <row r="96" spans="2:18" ht="15.75" x14ac:dyDescent="0.25">
      <c r="B96" s="5">
        <v>0</v>
      </c>
      <c r="C96" s="3">
        <v>0</v>
      </c>
      <c r="E96" s="4">
        <v>4.99</v>
      </c>
      <c r="F96" s="4">
        <v>0</v>
      </c>
      <c r="H96" s="4">
        <v>3.97</v>
      </c>
      <c r="I96" s="4">
        <v>0</v>
      </c>
      <c r="K96" s="4">
        <v>0.75</v>
      </c>
      <c r="L96" s="4">
        <v>0</v>
      </c>
      <c r="N96" s="4">
        <v>0</v>
      </c>
      <c r="O96" s="4">
        <v>0</v>
      </c>
      <c r="Q96" s="11">
        <v>0</v>
      </c>
      <c r="R96" s="11">
        <v>0</v>
      </c>
    </row>
    <row r="97" spans="2:18" ht="15.75" x14ac:dyDescent="0.25">
      <c r="B97" s="5">
        <v>0</v>
      </c>
      <c r="C97" s="3">
        <v>0</v>
      </c>
      <c r="E97" s="4">
        <v>8.17</v>
      </c>
      <c r="F97" s="4">
        <v>2.25</v>
      </c>
      <c r="H97" s="4">
        <v>1.5</v>
      </c>
      <c r="I97" s="4">
        <v>0</v>
      </c>
      <c r="K97" s="4">
        <v>1.87</v>
      </c>
      <c r="L97" s="4">
        <v>0</v>
      </c>
      <c r="N97" s="4">
        <v>0</v>
      </c>
      <c r="O97" s="4">
        <v>0</v>
      </c>
      <c r="Q97" s="4">
        <v>0</v>
      </c>
      <c r="R97" s="4">
        <v>0</v>
      </c>
    </row>
    <row r="98" spans="2:18" ht="15.75" x14ac:dyDescent="0.25">
      <c r="B98" s="5">
        <v>0</v>
      </c>
      <c r="C98" s="3">
        <v>0</v>
      </c>
      <c r="E98" s="4">
        <v>3.9</v>
      </c>
      <c r="F98" s="4">
        <v>3.48</v>
      </c>
      <c r="H98" s="4">
        <v>0</v>
      </c>
      <c r="I98" s="4">
        <v>0</v>
      </c>
      <c r="K98" s="4">
        <v>0</v>
      </c>
      <c r="L98" s="4">
        <v>0</v>
      </c>
      <c r="N98" s="4">
        <v>0.41</v>
      </c>
      <c r="O98" s="4">
        <v>1.5</v>
      </c>
      <c r="Q98" s="4">
        <v>0</v>
      </c>
      <c r="R98" s="4">
        <v>0</v>
      </c>
    </row>
    <row r="99" spans="2:18" ht="15.75" x14ac:dyDescent="0.25">
      <c r="B99" s="5">
        <v>0</v>
      </c>
      <c r="C99" s="5">
        <v>1.5</v>
      </c>
      <c r="E99" s="4">
        <v>11.76</v>
      </c>
      <c r="F99" s="4">
        <v>0</v>
      </c>
      <c r="H99" s="4">
        <v>0</v>
      </c>
      <c r="I99" s="4">
        <v>0</v>
      </c>
      <c r="K99" s="4">
        <v>0</v>
      </c>
      <c r="L99" s="4">
        <v>0</v>
      </c>
      <c r="N99" s="4">
        <v>0.38</v>
      </c>
      <c r="O99" s="4">
        <v>0</v>
      </c>
      <c r="Q99" s="4">
        <v>0</v>
      </c>
      <c r="R99" s="4">
        <v>0</v>
      </c>
    </row>
    <row r="100" spans="2:18" ht="15.75" x14ac:dyDescent="0.25">
      <c r="B100" s="3">
        <v>6.3</v>
      </c>
      <c r="C100" s="3">
        <v>8.57</v>
      </c>
      <c r="E100" s="4">
        <v>1.5</v>
      </c>
      <c r="F100" s="4">
        <v>0</v>
      </c>
      <c r="H100" s="4">
        <v>1.88</v>
      </c>
      <c r="I100" s="4">
        <v>0</v>
      </c>
      <c r="K100" s="4">
        <v>0</v>
      </c>
      <c r="L100" s="4">
        <v>0</v>
      </c>
      <c r="N100" s="11">
        <v>0</v>
      </c>
      <c r="O100" s="11">
        <v>0.25</v>
      </c>
      <c r="Q100" s="4">
        <v>0</v>
      </c>
      <c r="R100" s="4">
        <v>0</v>
      </c>
    </row>
    <row r="101" spans="2:18" ht="15.75" x14ac:dyDescent="0.25">
      <c r="B101" s="3">
        <v>8.17</v>
      </c>
      <c r="C101" s="3">
        <v>0</v>
      </c>
      <c r="E101" s="4">
        <v>1.5</v>
      </c>
      <c r="F101" s="4">
        <v>0</v>
      </c>
      <c r="H101" s="4">
        <v>2.76</v>
      </c>
      <c r="I101" s="4">
        <v>2.64</v>
      </c>
      <c r="K101" s="4">
        <v>0</v>
      </c>
      <c r="L101" s="4">
        <v>0</v>
      </c>
      <c r="N101" s="4">
        <v>0</v>
      </c>
      <c r="O101" s="4">
        <v>0</v>
      </c>
      <c r="Q101" s="4">
        <v>0</v>
      </c>
      <c r="R101" s="4">
        <v>1.5</v>
      </c>
    </row>
    <row r="102" spans="2:18" ht="15.75" x14ac:dyDescent="0.25">
      <c r="B102" s="3">
        <v>0</v>
      </c>
      <c r="C102" s="3">
        <v>0.75</v>
      </c>
      <c r="E102" s="4">
        <v>1.1299999999999999</v>
      </c>
      <c r="F102" s="4">
        <v>0.189</v>
      </c>
      <c r="H102" s="4">
        <v>0</v>
      </c>
      <c r="I102" s="4">
        <v>0</v>
      </c>
      <c r="K102" s="4">
        <v>0</v>
      </c>
      <c r="L102" s="4">
        <v>0</v>
      </c>
      <c r="N102" s="4">
        <v>0</v>
      </c>
      <c r="O102" s="4">
        <v>0</v>
      </c>
      <c r="Q102" s="4">
        <v>5.7</v>
      </c>
      <c r="R102" s="4">
        <v>0</v>
      </c>
    </row>
    <row r="103" spans="2:18" ht="15.75" x14ac:dyDescent="0.25">
      <c r="B103" s="3">
        <v>10.76</v>
      </c>
      <c r="C103" s="3">
        <v>9.24</v>
      </c>
      <c r="E103" s="4">
        <v>0</v>
      </c>
      <c r="F103" s="4">
        <v>1.75</v>
      </c>
      <c r="H103" s="4">
        <v>3</v>
      </c>
      <c r="I103" s="4">
        <v>0</v>
      </c>
      <c r="K103" s="4">
        <v>11.37</v>
      </c>
      <c r="L103" s="4">
        <v>8.52</v>
      </c>
      <c r="N103" s="4">
        <v>0.75</v>
      </c>
      <c r="O103" s="4">
        <v>0</v>
      </c>
      <c r="Q103" s="4">
        <v>26.31</v>
      </c>
      <c r="R103" s="4">
        <v>23.06</v>
      </c>
    </row>
    <row r="104" spans="2:18" ht="15.75" x14ac:dyDescent="0.25">
      <c r="B104" s="3">
        <v>0</v>
      </c>
      <c r="C104" s="3">
        <v>0</v>
      </c>
      <c r="E104" s="4">
        <v>0</v>
      </c>
      <c r="F104" s="4">
        <v>0.28000000000000003</v>
      </c>
      <c r="H104" s="4">
        <v>0</v>
      </c>
      <c r="I104" s="4">
        <v>0.38</v>
      </c>
      <c r="K104" s="4">
        <v>0.13</v>
      </c>
      <c r="L104" s="4">
        <v>0</v>
      </c>
      <c r="N104" s="4">
        <v>0.22</v>
      </c>
      <c r="O104" s="4">
        <v>0.13</v>
      </c>
      <c r="Q104" s="4">
        <v>19.010000000000002</v>
      </c>
      <c r="R104" s="4">
        <v>17.760000000000002</v>
      </c>
    </row>
    <row r="105" spans="2:18" ht="15.75" x14ac:dyDescent="0.25">
      <c r="B105" s="3">
        <v>6.77</v>
      </c>
      <c r="C105" s="3">
        <v>0</v>
      </c>
      <c r="E105" s="4">
        <v>0</v>
      </c>
      <c r="F105" s="28">
        <v>0</v>
      </c>
      <c r="H105" s="4">
        <v>7.48</v>
      </c>
      <c r="I105" s="4">
        <v>0</v>
      </c>
      <c r="K105" s="4">
        <v>2.73</v>
      </c>
      <c r="L105" s="4">
        <v>0</v>
      </c>
      <c r="N105" s="4">
        <v>3.98</v>
      </c>
      <c r="O105" s="4">
        <v>0</v>
      </c>
      <c r="Q105" s="4">
        <v>20.329999999999998</v>
      </c>
      <c r="R105" s="4">
        <v>19.2</v>
      </c>
    </row>
    <row r="106" spans="2:18" ht="15.75" x14ac:dyDescent="0.25">
      <c r="B106" s="3">
        <v>0</v>
      </c>
      <c r="C106" s="3">
        <v>33.770000000000003</v>
      </c>
      <c r="E106" s="4">
        <v>0</v>
      </c>
      <c r="F106" s="4">
        <v>0</v>
      </c>
      <c r="H106" s="4">
        <v>5.93</v>
      </c>
      <c r="I106" s="4">
        <v>0</v>
      </c>
      <c r="K106" s="4">
        <v>0</v>
      </c>
      <c r="L106" s="4">
        <v>2.37</v>
      </c>
      <c r="N106" s="4">
        <v>0</v>
      </c>
      <c r="O106" s="4">
        <v>0</v>
      </c>
      <c r="Q106" s="4">
        <v>11.04</v>
      </c>
      <c r="R106" s="4">
        <v>0</v>
      </c>
    </row>
    <row r="107" spans="2:18" ht="15.75" x14ac:dyDescent="0.25">
      <c r="B107" s="5">
        <v>13.53</v>
      </c>
      <c r="C107" s="5">
        <v>0</v>
      </c>
      <c r="E107" s="11">
        <v>0</v>
      </c>
      <c r="F107" s="11">
        <v>7.65</v>
      </c>
      <c r="H107" s="4">
        <v>1.5</v>
      </c>
      <c r="I107" s="4">
        <v>0</v>
      </c>
      <c r="K107" s="4">
        <v>0</v>
      </c>
      <c r="L107" s="4">
        <v>1.1299999999999999</v>
      </c>
      <c r="N107" s="4">
        <v>2</v>
      </c>
      <c r="O107" s="4">
        <v>0</v>
      </c>
      <c r="Q107" s="4">
        <v>15.6</v>
      </c>
      <c r="R107" s="4">
        <v>0</v>
      </c>
    </row>
    <row r="108" spans="2:18" ht="15.75" x14ac:dyDescent="0.25">
      <c r="B108" s="4">
        <v>2.76</v>
      </c>
      <c r="C108" s="4">
        <v>2.64</v>
      </c>
      <c r="E108" s="4">
        <v>0.38</v>
      </c>
      <c r="F108" s="4">
        <v>0.32</v>
      </c>
      <c r="H108" s="4">
        <v>1.5</v>
      </c>
      <c r="I108" s="4">
        <v>0.25</v>
      </c>
      <c r="K108" s="4">
        <v>0</v>
      </c>
      <c r="L108" s="4">
        <v>0.5</v>
      </c>
      <c r="N108" s="4">
        <v>1.1299999999999999</v>
      </c>
      <c r="O108" s="4">
        <v>0</v>
      </c>
      <c r="Q108" s="4">
        <v>8.4</v>
      </c>
      <c r="R108" s="4">
        <v>15.24</v>
      </c>
    </row>
    <row r="109" spans="2:18" ht="15.75" x14ac:dyDescent="0.25">
      <c r="B109" s="4">
        <v>0</v>
      </c>
      <c r="C109" s="4">
        <v>0</v>
      </c>
      <c r="E109" s="4">
        <v>0</v>
      </c>
      <c r="F109" s="4">
        <v>0</v>
      </c>
      <c r="H109" s="4">
        <v>2.84</v>
      </c>
      <c r="I109" s="4">
        <v>0</v>
      </c>
      <c r="K109" s="4">
        <v>0</v>
      </c>
      <c r="L109" s="4">
        <v>0</v>
      </c>
      <c r="N109" s="4">
        <v>0.75</v>
      </c>
      <c r="O109" s="4">
        <v>0</v>
      </c>
      <c r="Q109" s="4">
        <v>15.59</v>
      </c>
      <c r="R109" s="4">
        <v>0</v>
      </c>
    </row>
    <row r="110" spans="2:18" ht="15.75" x14ac:dyDescent="0.25">
      <c r="B110" s="23">
        <f>SUM(B92:B109)</f>
        <v>67.22</v>
      </c>
      <c r="C110" s="23">
        <f>SUM(C92:C109)</f>
        <v>84.440000000000012</v>
      </c>
      <c r="E110" s="26">
        <f>SUM(E92:E109)</f>
        <v>51.790000000000006</v>
      </c>
      <c r="F110" s="26">
        <f>SUM(F92:F109)</f>
        <v>26.838999999999999</v>
      </c>
      <c r="H110" s="4">
        <v>0</v>
      </c>
      <c r="I110" s="4">
        <v>0</v>
      </c>
      <c r="K110" s="4">
        <v>0.75</v>
      </c>
      <c r="L110" s="4">
        <v>0.45</v>
      </c>
      <c r="N110" s="4">
        <v>1.88</v>
      </c>
      <c r="O110" s="4">
        <v>0</v>
      </c>
      <c r="Q110" s="4">
        <v>0.47</v>
      </c>
      <c r="R110" s="4">
        <v>7.02</v>
      </c>
    </row>
    <row r="111" spans="2:18" ht="15.75" x14ac:dyDescent="0.25">
      <c r="H111" s="26">
        <f>SUM(H92:H110)</f>
        <v>33.989999999999995</v>
      </c>
      <c r="I111" s="26">
        <f>SUM(I92:I110)</f>
        <v>5.6499999999999995</v>
      </c>
      <c r="K111" s="4">
        <v>0.75</v>
      </c>
      <c r="L111" s="4">
        <v>0</v>
      </c>
      <c r="N111" s="4">
        <v>1.5</v>
      </c>
      <c r="O111" s="4">
        <v>0</v>
      </c>
      <c r="Q111" s="4">
        <v>0</v>
      </c>
      <c r="R111" s="4">
        <v>15.6</v>
      </c>
    </row>
    <row r="112" spans="2:18" ht="15.75" x14ac:dyDescent="0.25">
      <c r="K112" s="4">
        <v>1.5</v>
      </c>
      <c r="L112" s="4">
        <v>0</v>
      </c>
      <c r="N112" s="26">
        <f>SUM(N92:N111)</f>
        <v>14.5</v>
      </c>
      <c r="O112" s="26">
        <f>SUM(O92:O111)</f>
        <v>1.88</v>
      </c>
      <c r="Q112" s="26">
        <f>SUM(Q92:Q111)</f>
        <v>129.93</v>
      </c>
      <c r="R112" s="26">
        <f>SUM(R92:R111)</f>
        <v>99.579999999999984</v>
      </c>
    </row>
    <row r="113" spans="2:18" x14ac:dyDescent="0.25">
      <c r="K113" s="26">
        <f>SUM(K92:K112)</f>
        <v>36.479999999999997</v>
      </c>
      <c r="L113" s="26">
        <f>SUM(L92:L112)</f>
        <v>16.739999999999998</v>
      </c>
    </row>
    <row r="115" spans="2:18" ht="15.75" x14ac:dyDescent="0.25">
      <c r="B115" s="4">
        <v>0</v>
      </c>
      <c r="C115" s="4">
        <v>11.28</v>
      </c>
      <c r="E115" s="4">
        <v>5.77</v>
      </c>
      <c r="F115" s="4">
        <v>0.75</v>
      </c>
      <c r="H115" s="6">
        <v>2</v>
      </c>
      <c r="I115" s="6">
        <v>0</v>
      </c>
      <c r="K115" s="6">
        <v>0</v>
      </c>
      <c r="L115" s="6">
        <v>12</v>
      </c>
      <c r="N115" s="6">
        <v>0</v>
      </c>
      <c r="O115" s="4">
        <v>0</v>
      </c>
      <c r="Q115" s="4">
        <v>0</v>
      </c>
      <c r="R115" s="4">
        <v>0</v>
      </c>
    </row>
    <row r="116" spans="2:18" ht="15.75" x14ac:dyDescent="0.25">
      <c r="B116" s="4">
        <v>0.19</v>
      </c>
      <c r="C116" s="4">
        <v>11.28</v>
      </c>
      <c r="E116" s="4">
        <v>0</v>
      </c>
      <c r="F116" s="4">
        <v>0</v>
      </c>
      <c r="H116" s="6">
        <v>0</v>
      </c>
      <c r="I116" s="6">
        <v>12</v>
      </c>
      <c r="K116" s="6">
        <v>0</v>
      </c>
      <c r="L116" s="6">
        <v>12</v>
      </c>
      <c r="N116" s="6">
        <v>0</v>
      </c>
      <c r="O116" s="4">
        <v>0</v>
      </c>
      <c r="Q116" s="4">
        <v>0</v>
      </c>
      <c r="R116" s="4">
        <v>0</v>
      </c>
    </row>
    <row r="117" spans="2:18" ht="15.75" x14ac:dyDescent="0.25">
      <c r="B117" s="4">
        <v>1.5</v>
      </c>
      <c r="C117" s="4">
        <v>0</v>
      </c>
      <c r="E117" s="4">
        <v>1.1200000000000001</v>
      </c>
      <c r="F117" s="4">
        <v>0</v>
      </c>
      <c r="H117" s="6">
        <v>0</v>
      </c>
      <c r="I117" s="6">
        <v>12</v>
      </c>
      <c r="K117" s="6">
        <v>0</v>
      </c>
      <c r="L117" s="6">
        <v>12</v>
      </c>
      <c r="N117" s="4">
        <v>0</v>
      </c>
      <c r="O117" s="4">
        <v>12</v>
      </c>
      <c r="Q117" s="4">
        <v>0</v>
      </c>
      <c r="R117" s="4">
        <v>0</v>
      </c>
    </row>
    <row r="118" spans="2:18" ht="15.75" x14ac:dyDescent="0.25">
      <c r="B118" s="4">
        <v>4.08</v>
      </c>
      <c r="C118" s="4">
        <v>4.08</v>
      </c>
      <c r="E118" s="4">
        <v>0</v>
      </c>
      <c r="F118" s="4">
        <v>0.22</v>
      </c>
      <c r="H118" s="6">
        <v>0</v>
      </c>
      <c r="I118" s="6">
        <v>12</v>
      </c>
      <c r="K118" s="6">
        <v>0</v>
      </c>
      <c r="L118" s="6">
        <v>12</v>
      </c>
      <c r="N118" s="4">
        <v>0</v>
      </c>
      <c r="O118" s="4">
        <v>0</v>
      </c>
      <c r="Q118" s="4">
        <v>0</v>
      </c>
      <c r="R118" s="4">
        <v>0</v>
      </c>
    </row>
    <row r="119" spans="2:18" ht="15.75" x14ac:dyDescent="0.25">
      <c r="B119" s="4">
        <v>6.15</v>
      </c>
      <c r="C119" s="4">
        <v>0</v>
      </c>
      <c r="E119" s="6">
        <v>2</v>
      </c>
      <c r="F119" s="6">
        <v>0</v>
      </c>
      <c r="H119" s="6">
        <v>0</v>
      </c>
      <c r="I119" s="6">
        <v>12</v>
      </c>
      <c r="K119" s="6">
        <v>0</v>
      </c>
      <c r="L119" s="6">
        <v>12</v>
      </c>
      <c r="N119" s="4">
        <v>0</v>
      </c>
      <c r="O119" s="4">
        <v>0</v>
      </c>
      <c r="Q119" s="4">
        <v>0</v>
      </c>
      <c r="R119" s="4">
        <v>0</v>
      </c>
    </row>
    <row r="120" spans="2:18" ht="15.75" x14ac:dyDescent="0.25">
      <c r="B120" s="4">
        <v>0</v>
      </c>
      <c r="C120" s="4">
        <v>6.96</v>
      </c>
      <c r="E120" s="6">
        <v>12</v>
      </c>
      <c r="F120" s="6">
        <v>0</v>
      </c>
      <c r="H120" s="6">
        <v>0</v>
      </c>
      <c r="I120" s="6">
        <v>12</v>
      </c>
      <c r="K120" s="6">
        <v>0</v>
      </c>
      <c r="L120" s="6">
        <v>12</v>
      </c>
      <c r="N120" s="4">
        <v>0</v>
      </c>
      <c r="O120" s="4">
        <v>0</v>
      </c>
      <c r="Q120" s="4">
        <v>0</v>
      </c>
      <c r="R120" s="4">
        <v>0</v>
      </c>
    </row>
    <row r="121" spans="2:18" ht="15.75" x14ac:dyDescent="0.25">
      <c r="B121" s="4">
        <v>0</v>
      </c>
      <c r="C121" s="4">
        <v>16.8</v>
      </c>
      <c r="E121" s="6">
        <v>12</v>
      </c>
      <c r="F121" s="6">
        <v>0</v>
      </c>
      <c r="H121" s="6">
        <v>0</v>
      </c>
      <c r="I121" s="6">
        <v>12</v>
      </c>
      <c r="K121" s="6">
        <v>0</v>
      </c>
      <c r="L121" s="6">
        <v>12</v>
      </c>
      <c r="N121" s="4">
        <v>0</v>
      </c>
      <c r="O121" s="4">
        <v>0</v>
      </c>
      <c r="Q121" s="4">
        <v>0</v>
      </c>
      <c r="R121" s="4">
        <v>0</v>
      </c>
    </row>
    <row r="122" spans="2:18" ht="15.75" x14ac:dyDescent="0.25">
      <c r="B122" s="4">
        <v>0</v>
      </c>
      <c r="C122" s="4">
        <v>0.63</v>
      </c>
      <c r="E122" s="6">
        <v>12</v>
      </c>
      <c r="F122" s="6">
        <v>0</v>
      </c>
      <c r="H122" s="6">
        <v>0</v>
      </c>
      <c r="I122" s="6">
        <v>12</v>
      </c>
      <c r="K122" s="6">
        <v>0</v>
      </c>
      <c r="L122" s="6">
        <v>12</v>
      </c>
      <c r="N122" s="4">
        <v>0</v>
      </c>
      <c r="O122" s="4">
        <v>0</v>
      </c>
      <c r="Q122" s="4">
        <v>0</v>
      </c>
      <c r="R122" s="4">
        <v>0</v>
      </c>
    </row>
    <row r="123" spans="2:18" ht="15.75" x14ac:dyDescent="0.25">
      <c r="B123" s="4">
        <v>13.55</v>
      </c>
      <c r="C123" s="4">
        <v>9.1199999999999992</v>
      </c>
      <c r="E123" s="6">
        <v>12</v>
      </c>
      <c r="F123" s="6">
        <v>0</v>
      </c>
      <c r="H123" s="6">
        <v>0</v>
      </c>
      <c r="I123" s="6">
        <v>12</v>
      </c>
      <c r="K123" s="6">
        <v>0</v>
      </c>
      <c r="L123" s="6">
        <v>12</v>
      </c>
      <c r="N123" s="4">
        <v>0</v>
      </c>
      <c r="O123" s="4">
        <v>0</v>
      </c>
      <c r="Q123" s="4">
        <v>0</v>
      </c>
      <c r="R123" s="4">
        <v>0</v>
      </c>
    </row>
    <row r="124" spans="2:18" ht="15.75" x14ac:dyDescent="0.25">
      <c r="B124" s="4">
        <v>0</v>
      </c>
      <c r="C124" s="4">
        <v>4.6500000000000004</v>
      </c>
      <c r="E124" s="6">
        <v>12</v>
      </c>
      <c r="F124" s="6">
        <v>0</v>
      </c>
      <c r="H124" s="6">
        <v>0</v>
      </c>
      <c r="I124" s="6">
        <v>12</v>
      </c>
      <c r="K124" s="6">
        <v>0</v>
      </c>
      <c r="L124" s="6">
        <v>12</v>
      </c>
      <c r="N124" s="4">
        <v>0</v>
      </c>
      <c r="O124" s="4">
        <v>0</v>
      </c>
      <c r="Q124" s="4">
        <v>0</v>
      </c>
      <c r="R124" s="4">
        <v>0</v>
      </c>
    </row>
    <row r="125" spans="2:18" ht="15.75" x14ac:dyDescent="0.25">
      <c r="B125" s="22">
        <v>0</v>
      </c>
      <c r="C125" s="22">
        <v>0</v>
      </c>
      <c r="E125" s="6">
        <v>2</v>
      </c>
      <c r="F125" s="6">
        <v>0</v>
      </c>
      <c r="H125" s="6">
        <v>0</v>
      </c>
      <c r="I125" s="6">
        <v>12</v>
      </c>
      <c r="K125" s="6">
        <v>0</v>
      </c>
      <c r="L125" s="6">
        <v>12</v>
      </c>
      <c r="N125" s="4">
        <v>0</v>
      </c>
      <c r="O125" s="4">
        <v>0</v>
      </c>
      <c r="Q125" s="4">
        <v>0</v>
      </c>
      <c r="R125" s="4">
        <v>0</v>
      </c>
    </row>
    <row r="126" spans="2:18" ht="15.75" x14ac:dyDescent="0.25">
      <c r="B126" s="4">
        <v>1.5</v>
      </c>
      <c r="C126" s="4">
        <v>0</v>
      </c>
      <c r="E126" s="6">
        <v>12</v>
      </c>
      <c r="F126" s="6">
        <v>0</v>
      </c>
      <c r="H126" s="6">
        <v>0</v>
      </c>
      <c r="I126" s="6">
        <v>12</v>
      </c>
      <c r="K126" s="6">
        <v>0</v>
      </c>
      <c r="L126" s="6">
        <v>12</v>
      </c>
      <c r="N126" s="4">
        <v>0</v>
      </c>
      <c r="O126" s="4">
        <v>0</v>
      </c>
      <c r="Q126" s="4">
        <v>0</v>
      </c>
      <c r="R126" s="4">
        <v>0</v>
      </c>
    </row>
    <row r="127" spans="2:18" ht="15.75" x14ac:dyDescent="0.25">
      <c r="B127" s="4">
        <v>0.63</v>
      </c>
      <c r="C127" s="4">
        <v>0</v>
      </c>
      <c r="E127" s="6">
        <v>12</v>
      </c>
      <c r="F127" s="6">
        <v>0</v>
      </c>
      <c r="H127" s="6">
        <v>0</v>
      </c>
      <c r="I127" s="6">
        <v>12</v>
      </c>
      <c r="K127" s="6">
        <v>0</v>
      </c>
      <c r="L127" s="6">
        <v>12</v>
      </c>
      <c r="N127" s="4">
        <v>0</v>
      </c>
      <c r="O127" s="4">
        <v>0</v>
      </c>
      <c r="Q127" s="4">
        <v>0</v>
      </c>
      <c r="R127" s="4">
        <v>0</v>
      </c>
    </row>
    <row r="128" spans="2:18" ht="15.75" x14ac:dyDescent="0.25">
      <c r="B128" s="4">
        <v>10.75</v>
      </c>
      <c r="C128" s="4">
        <v>0</v>
      </c>
      <c r="E128" s="6">
        <v>2</v>
      </c>
      <c r="F128" s="6">
        <v>0</v>
      </c>
      <c r="H128" s="6">
        <v>0</v>
      </c>
      <c r="I128" s="6">
        <v>12</v>
      </c>
      <c r="K128" s="6">
        <v>0</v>
      </c>
      <c r="L128" s="6">
        <v>12</v>
      </c>
      <c r="N128" s="4">
        <v>0</v>
      </c>
      <c r="O128" s="4">
        <v>0</v>
      </c>
      <c r="Q128" s="4">
        <v>0</v>
      </c>
      <c r="R128" s="4">
        <v>0</v>
      </c>
    </row>
    <row r="129" spans="2:18" ht="15.75" x14ac:dyDescent="0.25">
      <c r="B129" s="4">
        <v>0</v>
      </c>
      <c r="C129" s="4">
        <v>3.48</v>
      </c>
      <c r="E129" s="6">
        <v>2</v>
      </c>
      <c r="F129" s="6">
        <v>0</v>
      </c>
      <c r="H129" s="6">
        <v>0</v>
      </c>
      <c r="I129" s="6">
        <v>12</v>
      </c>
      <c r="K129" s="6">
        <v>0</v>
      </c>
      <c r="L129" s="11">
        <v>0</v>
      </c>
      <c r="N129" s="4">
        <v>0</v>
      </c>
      <c r="O129" s="4">
        <v>0</v>
      </c>
      <c r="Q129" s="4">
        <v>0</v>
      </c>
      <c r="R129" s="4">
        <v>0</v>
      </c>
    </row>
    <row r="130" spans="2:18" ht="15.75" x14ac:dyDescent="0.25">
      <c r="B130" s="4">
        <v>8.6999999999999993</v>
      </c>
      <c r="C130" s="4">
        <v>8.4</v>
      </c>
      <c r="E130" s="6">
        <v>12</v>
      </c>
      <c r="F130" s="6">
        <v>0</v>
      </c>
      <c r="H130" s="6">
        <v>0</v>
      </c>
      <c r="I130" s="6">
        <v>12</v>
      </c>
      <c r="K130" s="6">
        <v>0</v>
      </c>
      <c r="L130" s="4">
        <v>0</v>
      </c>
      <c r="N130" s="4">
        <v>0</v>
      </c>
      <c r="O130" s="28">
        <v>0</v>
      </c>
      <c r="Q130" s="4">
        <v>0</v>
      </c>
      <c r="R130" s="28">
        <v>0</v>
      </c>
    </row>
    <row r="131" spans="2:18" ht="15.75" x14ac:dyDescent="0.25">
      <c r="B131" s="4">
        <v>5.05</v>
      </c>
      <c r="C131" s="4">
        <v>2.25</v>
      </c>
      <c r="E131" s="6">
        <v>12</v>
      </c>
      <c r="F131" s="6">
        <v>0</v>
      </c>
      <c r="H131" s="6">
        <v>0</v>
      </c>
      <c r="I131" s="6">
        <v>12</v>
      </c>
      <c r="K131" s="6">
        <v>0</v>
      </c>
      <c r="L131" s="28">
        <v>0</v>
      </c>
      <c r="N131" s="4">
        <v>0</v>
      </c>
      <c r="O131" s="4">
        <v>0</v>
      </c>
      <c r="Q131" s="4">
        <v>0</v>
      </c>
      <c r="R131" s="4">
        <v>0</v>
      </c>
    </row>
    <row r="132" spans="2:18" ht="15.75" x14ac:dyDescent="0.25">
      <c r="B132" s="4">
        <v>5.0999999999999996</v>
      </c>
      <c r="C132" s="4">
        <v>0</v>
      </c>
      <c r="E132" s="6">
        <v>12</v>
      </c>
      <c r="F132" s="6">
        <v>0</v>
      </c>
      <c r="H132" s="6">
        <v>0</v>
      </c>
      <c r="I132" s="6">
        <v>12</v>
      </c>
      <c r="K132" s="6">
        <v>0</v>
      </c>
      <c r="L132" s="4">
        <v>0</v>
      </c>
      <c r="N132" s="4">
        <v>0</v>
      </c>
      <c r="O132" s="4">
        <v>0</v>
      </c>
      <c r="Q132" s="4">
        <v>0</v>
      </c>
      <c r="R132" s="4">
        <v>0</v>
      </c>
    </row>
    <row r="133" spans="2:18" ht="15.75" x14ac:dyDescent="0.25">
      <c r="B133" s="4">
        <v>0</v>
      </c>
      <c r="C133" s="4">
        <v>2.13</v>
      </c>
      <c r="E133" s="6">
        <v>12</v>
      </c>
      <c r="F133" s="6">
        <v>0</v>
      </c>
      <c r="H133" s="6">
        <v>0</v>
      </c>
      <c r="I133" s="6">
        <v>12</v>
      </c>
      <c r="K133" s="6">
        <v>0</v>
      </c>
      <c r="L133" s="4">
        <v>0</v>
      </c>
      <c r="N133" s="4">
        <v>0</v>
      </c>
      <c r="O133" s="4">
        <v>0</v>
      </c>
      <c r="Q133" s="4">
        <v>0</v>
      </c>
      <c r="R133" s="4">
        <v>0</v>
      </c>
    </row>
    <row r="134" spans="2:18" ht="15.75" x14ac:dyDescent="0.25">
      <c r="B134" s="4">
        <v>0</v>
      </c>
      <c r="C134" s="4">
        <v>0</v>
      </c>
      <c r="E134" s="6">
        <v>2</v>
      </c>
      <c r="F134" s="6">
        <v>0</v>
      </c>
      <c r="H134" s="26">
        <f>SUM(H115:H133)</f>
        <v>2</v>
      </c>
      <c r="I134" s="26">
        <f>SUM(I115:I133)</f>
        <v>216</v>
      </c>
      <c r="K134" s="6">
        <v>0</v>
      </c>
      <c r="L134" s="4">
        <v>0</v>
      </c>
      <c r="N134" s="4">
        <v>0</v>
      </c>
      <c r="O134" s="4">
        <v>0</v>
      </c>
      <c r="Q134" s="11">
        <v>46.78</v>
      </c>
      <c r="R134" s="11">
        <v>46.04</v>
      </c>
    </row>
    <row r="135" spans="2:18" ht="15.75" x14ac:dyDescent="0.25">
      <c r="B135" s="22">
        <v>0.59</v>
      </c>
      <c r="C135" s="4">
        <v>0</v>
      </c>
      <c r="E135" s="26">
        <f>SUM(E115:E134)</f>
        <v>148.88999999999999</v>
      </c>
      <c r="F135" s="26">
        <f>SUM(F115:F134)</f>
        <v>0.97</v>
      </c>
      <c r="K135" s="6">
        <v>0</v>
      </c>
      <c r="L135" s="4">
        <v>0</v>
      </c>
      <c r="N135" s="4">
        <v>0</v>
      </c>
      <c r="O135" s="4">
        <v>0</v>
      </c>
      <c r="Q135" s="26">
        <f>SUM(Q115:Q134)</f>
        <v>46.78</v>
      </c>
      <c r="R135" s="26">
        <f>SUM(R115:R134)</f>
        <v>46.04</v>
      </c>
    </row>
    <row r="136" spans="2:18" ht="15.75" x14ac:dyDescent="0.25">
      <c r="B136" s="26">
        <f>SUM(B115:B135)</f>
        <v>57.79</v>
      </c>
      <c r="C136" s="26">
        <f>SUM(C115:C135)</f>
        <v>81.060000000000016</v>
      </c>
      <c r="K136" s="6">
        <v>0</v>
      </c>
      <c r="L136" s="4">
        <v>0</v>
      </c>
      <c r="N136" s="26">
        <f>SUM(N115:N135)</f>
        <v>0</v>
      </c>
      <c r="O136" s="26">
        <f>SUM(O115:O135)</f>
        <v>12</v>
      </c>
    </row>
    <row r="137" spans="2:18" x14ac:dyDescent="0.25">
      <c r="K137" s="26">
        <f>SUM(K115:K136)</f>
        <v>0</v>
      </c>
      <c r="L137" s="26">
        <f>SUM(L115:L136)</f>
        <v>168</v>
      </c>
    </row>
    <row r="139" spans="2:18" ht="15.75" x14ac:dyDescent="0.25">
      <c r="B139" s="11">
        <v>20</v>
      </c>
      <c r="C139" s="11">
        <v>20</v>
      </c>
      <c r="E139" s="4">
        <v>234.92</v>
      </c>
      <c r="F139" s="4">
        <v>0</v>
      </c>
      <c r="H139" s="12">
        <v>0</v>
      </c>
      <c r="I139" s="5">
        <v>427.24</v>
      </c>
      <c r="K139" s="5">
        <v>57.46</v>
      </c>
      <c r="L139" s="5">
        <v>14.69</v>
      </c>
      <c r="N139" s="11">
        <v>0</v>
      </c>
      <c r="O139" s="11">
        <v>0</v>
      </c>
      <c r="Q139" s="5">
        <v>7.5</v>
      </c>
      <c r="R139" s="5">
        <v>48</v>
      </c>
    </row>
    <row r="140" spans="2:18" ht="15.75" x14ac:dyDescent="0.25">
      <c r="B140" s="4">
        <v>0</v>
      </c>
      <c r="C140" s="4">
        <v>0</v>
      </c>
      <c r="E140" s="4">
        <v>0</v>
      </c>
      <c r="F140" s="4">
        <v>0</v>
      </c>
      <c r="H140" s="3">
        <v>21.72</v>
      </c>
      <c r="I140" s="3">
        <v>0</v>
      </c>
      <c r="K140" s="5">
        <v>14.1</v>
      </c>
      <c r="L140" s="5">
        <v>15.93</v>
      </c>
      <c r="N140" s="11">
        <v>0</v>
      </c>
      <c r="O140" s="11">
        <v>0</v>
      </c>
      <c r="Q140" s="3">
        <v>0</v>
      </c>
      <c r="R140" s="3">
        <v>0</v>
      </c>
    </row>
    <row r="141" spans="2:18" ht="15.75" x14ac:dyDescent="0.25">
      <c r="B141" s="4">
        <v>22.81</v>
      </c>
      <c r="C141" s="4">
        <v>81.13</v>
      </c>
      <c r="E141" s="11">
        <v>0</v>
      </c>
      <c r="F141" s="11">
        <v>0</v>
      </c>
      <c r="H141" s="13">
        <v>30.02</v>
      </c>
      <c r="I141" s="13">
        <v>46.4</v>
      </c>
      <c r="K141" s="5">
        <v>0</v>
      </c>
      <c r="L141" s="5">
        <v>17.12</v>
      </c>
      <c r="N141" s="11">
        <v>0</v>
      </c>
      <c r="O141" s="11">
        <v>0</v>
      </c>
      <c r="Q141" s="3">
        <v>0</v>
      </c>
      <c r="R141" s="3">
        <v>0</v>
      </c>
    </row>
    <row r="142" spans="2:18" ht="15.75" x14ac:dyDescent="0.25">
      <c r="B142" s="4">
        <v>0</v>
      </c>
      <c r="C142" s="4">
        <v>20.89</v>
      </c>
      <c r="E142" s="11">
        <v>0</v>
      </c>
      <c r="F142" s="11">
        <v>40</v>
      </c>
      <c r="H142" s="5">
        <v>0</v>
      </c>
      <c r="I142" s="5">
        <v>26.37</v>
      </c>
      <c r="K142" s="15">
        <v>12</v>
      </c>
      <c r="L142" s="15">
        <v>12</v>
      </c>
      <c r="N142" s="11">
        <v>4.59</v>
      </c>
      <c r="O142" s="11">
        <v>4.3</v>
      </c>
      <c r="Q142" s="3">
        <v>0</v>
      </c>
      <c r="R142" s="3">
        <v>0.09</v>
      </c>
    </row>
    <row r="143" spans="2:18" ht="15.75" x14ac:dyDescent="0.25">
      <c r="B143" s="4">
        <v>563</v>
      </c>
      <c r="C143" s="4">
        <v>0</v>
      </c>
      <c r="E143" s="5">
        <v>403.19</v>
      </c>
      <c r="F143" s="5">
        <v>414.9</v>
      </c>
      <c r="H143" s="5">
        <v>46.21</v>
      </c>
      <c r="I143" s="5">
        <v>22.72</v>
      </c>
      <c r="K143" s="15">
        <v>823.4</v>
      </c>
      <c r="L143" s="15">
        <v>0</v>
      </c>
      <c r="N143" s="15">
        <v>0</v>
      </c>
      <c r="O143" s="15">
        <v>0</v>
      </c>
      <c r="Q143" s="3">
        <v>0</v>
      </c>
      <c r="R143" s="3">
        <v>0.09</v>
      </c>
    </row>
    <row r="144" spans="2:18" ht="15.75" x14ac:dyDescent="0.25">
      <c r="B144" s="4">
        <v>0</v>
      </c>
      <c r="C144" s="4">
        <v>0</v>
      </c>
      <c r="E144" s="5">
        <v>0</v>
      </c>
      <c r="F144" s="5">
        <v>0</v>
      </c>
      <c r="H144" s="5">
        <v>0</v>
      </c>
      <c r="I144" s="5">
        <v>62.85</v>
      </c>
      <c r="K144" s="11">
        <v>0</v>
      </c>
      <c r="L144" s="11">
        <v>0</v>
      </c>
      <c r="N144" s="11">
        <v>0</v>
      </c>
      <c r="O144" s="11">
        <v>53.55</v>
      </c>
      <c r="Q144" s="3">
        <v>0</v>
      </c>
      <c r="R144" s="3">
        <v>0.7</v>
      </c>
    </row>
    <row r="145" spans="2:18" ht="15.75" x14ac:dyDescent="0.25">
      <c r="B145" s="11">
        <v>48.8</v>
      </c>
      <c r="C145" s="11">
        <v>0</v>
      </c>
      <c r="E145" s="5">
        <v>1867.64</v>
      </c>
      <c r="F145" s="5">
        <v>1261.46</v>
      </c>
      <c r="H145" s="3">
        <v>12.46</v>
      </c>
      <c r="I145" s="3">
        <v>22.92</v>
      </c>
      <c r="K145" s="11">
        <v>0</v>
      </c>
      <c r="L145" s="11">
        <v>18.61</v>
      </c>
      <c r="N145" s="18">
        <v>0</v>
      </c>
      <c r="O145" s="18">
        <v>87.69</v>
      </c>
      <c r="Q145" s="3">
        <v>0</v>
      </c>
      <c r="R145" s="3">
        <v>0.7</v>
      </c>
    </row>
    <row r="146" spans="2:18" ht="15.75" x14ac:dyDescent="0.25">
      <c r="B146" s="4">
        <v>27.8</v>
      </c>
      <c r="C146" s="4">
        <v>0</v>
      </c>
      <c r="E146" s="12">
        <v>0</v>
      </c>
      <c r="F146" s="12">
        <v>10</v>
      </c>
      <c r="H146" s="3">
        <v>0</v>
      </c>
      <c r="I146" s="3">
        <v>0</v>
      </c>
      <c r="K146" s="11">
        <v>0</v>
      </c>
      <c r="L146" s="11">
        <v>15.21</v>
      </c>
      <c r="N146" s="11">
        <v>8.1199999999999992</v>
      </c>
      <c r="O146" s="29">
        <v>15</v>
      </c>
      <c r="Q146" s="3">
        <v>0</v>
      </c>
      <c r="R146" s="3">
        <v>0.7</v>
      </c>
    </row>
    <row r="147" spans="2:18" ht="15.75" x14ac:dyDescent="0.25">
      <c r="B147" s="4">
        <v>24.6</v>
      </c>
      <c r="C147" s="4">
        <v>0</v>
      </c>
      <c r="E147" s="12">
        <v>35.56</v>
      </c>
      <c r="F147" s="12">
        <v>0</v>
      </c>
      <c r="H147" s="5">
        <v>12.06</v>
      </c>
      <c r="I147" s="5">
        <v>0</v>
      </c>
      <c r="K147" s="11">
        <v>304.37</v>
      </c>
      <c r="L147" s="11">
        <v>0</v>
      </c>
      <c r="N147" s="5">
        <v>26</v>
      </c>
      <c r="O147" s="5">
        <v>98.27</v>
      </c>
      <c r="Q147" s="3">
        <v>0</v>
      </c>
      <c r="R147" s="3">
        <v>0.7</v>
      </c>
    </row>
    <row r="148" spans="2:18" ht="15.75" x14ac:dyDescent="0.25">
      <c r="B148" s="4">
        <v>200</v>
      </c>
      <c r="C148" s="4">
        <v>0</v>
      </c>
      <c r="E148" s="12">
        <v>2162.89</v>
      </c>
      <c r="F148" s="25">
        <v>0</v>
      </c>
      <c r="H148" s="3">
        <v>7.45</v>
      </c>
      <c r="I148" s="3">
        <v>0</v>
      </c>
      <c r="K148" s="11">
        <v>15.21</v>
      </c>
      <c r="L148" s="11">
        <v>0</v>
      </c>
      <c r="N148" s="5">
        <v>0</v>
      </c>
      <c r="O148" s="5">
        <v>137.12</v>
      </c>
      <c r="Q148" s="3">
        <v>0</v>
      </c>
      <c r="R148" s="3">
        <v>0.7</v>
      </c>
    </row>
    <row r="149" spans="2:18" ht="15.75" x14ac:dyDescent="0.25">
      <c r="B149" s="4">
        <v>0</v>
      </c>
      <c r="C149" s="4">
        <v>0</v>
      </c>
      <c r="E149" s="12">
        <v>10.01</v>
      </c>
      <c r="F149" s="5">
        <v>0</v>
      </c>
      <c r="H149" s="3">
        <v>7.07</v>
      </c>
      <c r="I149" s="21">
        <v>0</v>
      </c>
      <c r="K149" s="5">
        <v>20663.830000000002</v>
      </c>
      <c r="L149" s="5">
        <v>12223.06</v>
      </c>
      <c r="N149" s="26">
        <f>SUM(N139:N148)</f>
        <v>38.71</v>
      </c>
      <c r="O149" s="26">
        <f>SUM(O139:O148)</f>
        <v>395.93</v>
      </c>
      <c r="Q149" s="3">
        <v>0</v>
      </c>
      <c r="R149" s="3">
        <v>0.7</v>
      </c>
    </row>
    <row r="150" spans="2:18" ht="15.75" x14ac:dyDescent="0.25">
      <c r="B150" s="4">
        <v>130.44999999999999</v>
      </c>
      <c r="C150" s="4">
        <v>61.1</v>
      </c>
      <c r="E150" s="12">
        <v>72.959999999999994</v>
      </c>
      <c r="F150" s="5">
        <v>0</v>
      </c>
      <c r="H150" s="3">
        <v>0</v>
      </c>
      <c r="I150" s="3">
        <v>0</v>
      </c>
      <c r="K150" s="4">
        <v>0</v>
      </c>
      <c r="L150" s="28">
        <v>0</v>
      </c>
      <c r="Q150" s="3">
        <v>0</v>
      </c>
      <c r="R150" s="3">
        <v>0.7</v>
      </c>
    </row>
    <row r="151" spans="2:18" ht="15.75" x14ac:dyDescent="0.25">
      <c r="B151" s="4">
        <v>4.2</v>
      </c>
      <c r="C151" s="4">
        <v>0</v>
      </c>
      <c r="E151" s="12">
        <v>928</v>
      </c>
      <c r="F151" s="5">
        <v>500</v>
      </c>
      <c r="H151" s="14">
        <v>65.3</v>
      </c>
      <c r="I151" s="14">
        <v>87.83</v>
      </c>
      <c r="K151" s="11">
        <v>648.16999999999996</v>
      </c>
      <c r="L151" s="11">
        <v>411.51</v>
      </c>
      <c r="Q151" s="3">
        <v>0</v>
      </c>
      <c r="R151" s="3">
        <v>0.7</v>
      </c>
    </row>
    <row r="152" spans="2:18" ht="15.75" x14ac:dyDescent="0.25">
      <c r="B152" s="11">
        <v>77.81</v>
      </c>
      <c r="C152" s="29">
        <v>500</v>
      </c>
      <c r="E152" s="12">
        <v>32.700000000000003</v>
      </c>
      <c r="F152" s="5">
        <v>187.4</v>
      </c>
      <c r="H152" s="3">
        <v>7.07</v>
      </c>
      <c r="I152" s="3">
        <v>14.14</v>
      </c>
      <c r="K152" s="11">
        <v>0</v>
      </c>
      <c r="L152" s="11">
        <v>0</v>
      </c>
      <c r="Q152" s="3">
        <v>0</v>
      </c>
      <c r="R152" s="3">
        <v>0.7</v>
      </c>
    </row>
    <row r="153" spans="2:18" ht="15.75" x14ac:dyDescent="0.25">
      <c r="B153" s="4">
        <v>0</v>
      </c>
      <c r="C153" s="28">
        <v>0</v>
      </c>
      <c r="E153" s="26">
        <f>SUM(E139:E152)</f>
        <v>5747.87</v>
      </c>
      <c r="F153" s="26">
        <f>SUM(F139:F152)</f>
        <v>2413.7600000000002</v>
      </c>
      <c r="H153" s="23">
        <f>SUM(H139:H152)</f>
        <v>209.35999999999996</v>
      </c>
      <c r="I153" s="23">
        <f>SUM(I139:I152)</f>
        <v>710.47</v>
      </c>
      <c r="K153" s="23">
        <f>SUM(K139:K152)</f>
        <v>22538.54</v>
      </c>
      <c r="L153" s="23">
        <f>SUM(L139:L152)</f>
        <v>12728.13</v>
      </c>
      <c r="Q153" s="3">
        <v>0</v>
      </c>
      <c r="R153" s="3">
        <v>0.7</v>
      </c>
    </row>
    <row r="154" spans="2:18" ht="15.75" x14ac:dyDescent="0.25">
      <c r="B154" s="11">
        <v>33.96</v>
      </c>
      <c r="C154" s="11">
        <v>21</v>
      </c>
      <c r="Q154" s="3">
        <v>0</v>
      </c>
      <c r="R154" s="21">
        <v>0.7</v>
      </c>
    </row>
    <row r="155" spans="2:18" ht="15.75" x14ac:dyDescent="0.25">
      <c r="B155" s="4">
        <v>7.98</v>
      </c>
      <c r="C155" s="4">
        <v>0</v>
      </c>
      <c r="Q155" s="3">
        <v>0</v>
      </c>
      <c r="R155" s="3">
        <v>0.7</v>
      </c>
    </row>
    <row r="156" spans="2:18" ht="15.75" x14ac:dyDescent="0.25">
      <c r="B156" s="26">
        <f>SUM(B139:B155)</f>
        <v>1161.4099999999999</v>
      </c>
      <c r="C156" s="26">
        <f>SUM(C139:C155)</f>
        <v>704.12</v>
      </c>
      <c r="Q156" s="3">
        <v>0</v>
      </c>
      <c r="R156" s="3">
        <v>0.7</v>
      </c>
    </row>
    <row r="157" spans="2:18" ht="15.75" x14ac:dyDescent="0.25">
      <c r="Q157" s="3">
        <v>0</v>
      </c>
      <c r="R157" s="3">
        <v>0.09</v>
      </c>
    </row>
    <row r="158" spans="2:18" x14ac:dyDescent="0.25">
      <c r="Q158" s="23">
        <f>SUM(Q139:Q157)</f>
        <v>7.5</v>
      </c>
      <c r="R158" s="23">
        <f>SUM(R139:R157)</f>
        <v>57.370000000000047</v>
      </c>
    </row>
    <row r="161" spans="2:18" ht="15.75" x14ac:dyDescent="0.25">
      <c r="B161" s="3">
        <v>0</v>
      </c>
      <c r="C161" s="3">
        <v>0.09</v>
      </c>
      <c r="E161" s="3">
        <v>0</v>
      </c>
      <c r="F161" s="3">
        <v>0.7</v>
      </c>
      <c r="H161" s="3">
        <v>0</v>
      </c>
      <c r="I161" s="3">
        <v>0.09</v>
      </c>
      <c r="K161" s="3">
        <v>0</v>
      </c>
      <c r="L161" s="3">
        <v>0.7</v>
      </c>
      <c r="N161" s="3">
        <v>0</v>
      </c>
      <c r="O161" s="3">
        <v>0.09</v>
      </c>
      <c r="Q161" s="3">
        <v>0</v>
      </c>
      <c r="R161" s="3">
        <v>0.7</v>
      </c>
    </row>
    <row r="162" spans="2:18" ht="15.75" x14ac:dyDescent="0.25">
      <c r="B162" s="3">
        <v>0</v>
      </c>
      <c r="C162" s="3">
        <v>0.09</v>
      </c>
      <c r="E162" s="3">
        <v>0</v>
      </c>
      <c r="F162" s="3">
        <v>0.7</v>
      </c>
      <c r="H162" s="3">
        <v>0</v>
      </c>
      <c r="I162" s="3">
        <v>0.09</v>
      </c>
      <c r="K162" s="3">
        <v>0</v>
      </c>
      <c r="L162" s="3">
        <v>0.7</v>
      </c>
      <c r="N162" s="3">
        <v>0</v>
      </c>
      <c r="O162" s="3">
        <v>0.09</v>
      </c>
      <c r="Q162" s="3">
        <v>0</v>
      </c>
      <c r="R162" s="3">
        <v>0.7</v>
      </c>
    </row>
    <row r="163" spans="2:18" ht="15.75" x14ac:dyDescent="0.25">
      <c r="B163" s="3">
        <v>0</v>
      </c>
      <c r="C163" s="3">
        <v>0.09</v>
      </c>
      <c r="E163" s="3">
        <v>0</v>
      </c>
      <c r="F163" s="3">
        <v>0.7</v>
      </c>
      <c r="H163" s="3">
        <v>0</v>
      </c>
      <c r="I163" s="3">
        <v>0.09</v>
      </c>
      <c r="K163" s="3">
        <v>0</v>
      </c>
      <c r="L163" s="3">
        <v>0.7</v>
      </c>
      <c r="N163" s="3">
        <v>0</v>
      </c>
      <c r="O163" s="3">
        <v>0.09</v>
      </c>
      <c r="Q163" s="3">
        <v>0</v>
      </c>
      <c r="R163" s="3">
        <v>0.7</v>
      </c>
    </row>
    <row r="164" spans="2:18" ht="15.75" x14ac:dyDescent="0.25">
      <c r="B164" s="3">
        <v>0</v>
      </c>
      <c r="C164" s="3">
        <v>0.09</v>
      </c>
      <c r="E164" s="3">
        <v>0</v>
      </c>
      <c r="F164" s="3">
        <v>0.7</v>
      </c>
      <c r="H164" s="3">
        <v>0</v>
      </c>
      <c r="I164" s="3">
        <v>0.09</v>
      </c>
      <c r="K164" s="3">
        <v>0</v>
      </c>
      <c r="L164" s="3">
        <v>0.7</v>
      </c>
      <c r="N164" s="3">
        <v>0</v>
      </c>
      <c r="O164" s="3">
        <v>0.09</v>
      </c>
      <c r="Q164" s="3">
        <v>0</v>
      </c>
      <c r="R164" s="3">
        <v>0.7</v>
      </c>
    </row>
    <row r="165" spans="2:18" ht="15.75" x14ac:dyDescent="0.25">
      <c r="B165" s="3">
        <v>0</v>
      </c>
      <c r="C165" s="3">
        <v>0.09</v>
      </c>
      <c r="E165" s="3">
        <v>0</v>
      </c>
      <c r="F165" s="3">
        <v>0.7</v>
      </c>
      <c r="H165" s="3">
        <v>0</v>
      </c>
      <c r="I165" s="3">
        <v>0.09</v>
      </c>
      <c r="K165" s="3">
        <v>0</v>
      </c>
      <c r="L165" s="3">
        <v>0.7</v>
      </c>
      <c r="N165" s="3">
        <v>0</v>
      </c>
      <c r="O165" s="3">
        <v>0.09</v>
      </c>
      <c r="Q165" s="3">
        <v>0</v>
      </c>
      <c r="R165" s="3">
        <v>0.7</v>
      </c>
    </row>
    <row r="166" spans="2:18" ht="15.75" x14ac:dyDescent="0.25">
      <c r="B166" s="3">
        <v>0</v>
      </c>
      <c r="C166" s="3">
        <v>0.09</v>
      </c>
      <c r="E166" s="3">
        <v>0</v>
      </c>
      <c r="F166" s="3">
        <v>0.7</v>
      </c>
      <c r="H166" s="3">
        <v>0</v>
      </c>
      <c r="I166" s="3">
        <v>0.09</v>
      </c>
      <c r="K166" s="3">
        <v>0</v>
      </c>
      <c r="L166" s="3">
        <v>0.7</v>
      </c>
      <c r="N166" s="3">
        <v>0</v>
      </c>
      <c r="O166" s="3">
        <v>0.09</v>
      </c>
      <c r="Q166" s="3">
        <v>0</v>
      </c>
      <c r="R166" s="3">
        <v>0.7</v>
      </c>
    </row>
    <row r="167" spans="2:18" ht="15.75" x14ac:dyDescent="0.25">
      <c r="B167" s="3">
        <v>0</v>
      </c>
      <c r="C167" s="3">
        <v>0.09</v>
      </c>
      <c r="E167" s="3">
        <v>0</v>
      </c>
      <c r="F167" s="3">
        <v>0.7</v>
      </c>
      <c r="H167" s="3">
        <v>0</v>
      </c>
      <c r="I167" s="3">
        <v>0.09</v>
      </c>
      <c r="K167" s="3">
        <v>0</v>
      </c>
      <c r="L167" s="3">
        <v>0.7</v>
      </c>
      <c r="N167" s="3">
        <v>0</v>
      </c>
      <c r="O167" s="3">
        <v>0.09</v>
      </c>
      <c r="Q167" s="3">
        <v>0</v>
      </c>
      <c r="R167" s="3">
        <v>0.7</v>
      </c>
    </row>
    <row r="168" spans="2:18" ht="15.75" x14ac:dyDescent="0.25">
      <c r="B168" s="3">
        <v>0</v>
      </c>
      <c r="C168" s="3">
        <v>0.09</v>
      </c>
      <c r="E168" s="3">
        <v>0</v>
      </c>
      <c r="F168" s="3">
        <v>0.7</v>
      </c>
      <c r="H168" s="3">
        <v>0</v>
      </c>
      <c r="I168" s="3">
        <v>0.09</v>
      </c>
      <c r="K168" s="3">
        <v>0</v>
      </c>
      <c r="L168" s="3">
        <v>0.7</v>
      </c>
      <c r="N168" s="3">
        <v>0</v>
      </c>
      <c r="O168" s="3">
        <v>0.09</v>
      </c>
      <c r="Q168" s="3">
        <v>0</v>
      </c>
      <c r="R168" s="3">
        <v>0.09</v>
      </c>
    </row>
    <row r="169" spans="2:18" ht="15.75" x14ac:dyDescent="0.25">
      <c r="B169" s="3">
        <v>0</v>
      </c>
      <c r="C169" s="3">
        <v>0.09</v>
      </c>
      <c r="E169" s="3">
        <v>0</v>
      </c>
      <c r="F169" s="3">
        <v>0.7</v>
      </c>
      <c r="H169" s="3">
        <v>0</v>
      </c>
      <c r="I169" s="3">
        <v>0.09</v>
      </c>
      <c r="K169" s="3">
        <v>0</v>
      </c>
      <c r="L169" s="3">
        <v>0.09</v>
      </c>
      <c r="N169" s="3">
        <v>0</v>
      </c>
      <c r="O169" s="3">
        <v>0.09</v>
      </c>
      <c r="Q169" s="3">
        <v>0</v>
      </c>
      <c r="R169" s="3">
        <v>0.09</v>
      </c>
    </row>
    <row r="170" spans="2:18" ht="15.75" x14ac:dyDescent="0.25">
      <c r="B170" s="3">
        <v>0</v>
      </c>
      <c r="C170" s="3">
        <v>0.09</v>
      </c>
      <c r="E170" s="3">
        <v>0</v>
      </c>
      <c r="F170" s="3">
        <v>0.7</v>
      </c>
      <c r="H170" s="3">
        <v>0</v>
      </c>
      <c r="I170" s="3">
        <v>0.09</v>
      </c>
      <c r="K170" s="3">
        <v>0</v>
      </c>
      <c r="L170" s="3">
        <v>0.09</v>
      </c>
      <c r="N170" s="3">
        <v>0</v>
      </c>
      <c r="O170" s="3">
        <v>0.1</v>
      </c>
      <c r="Q170" s="3">
        <v>0</v>
      </c>
      <c r="R170" s="3">
        <v>0.09</v>
      </c>
    </row>
    <row r="171" spans="2:18" ht="15.75" x14ac:dyDescent="0.25">
      <c r="B171" s="3">
        <v>0</v>
      </c>
      <c r="C171" s="3">
        <v>0.09</v>
      </c>
      <c r="E171" s="3">
        <v>0</v>
      </c>
      <c r="F171" s="3">
        <v>0.09</v>
      </c>
      <c r="H171" s="3">
        <v>0</v>
      </c>
      <c r="I171" s="3">
        <v>0.7</v>
      </c>
      <c r="K171" s="3">
        <v>0</v>
      </c>
      <c r="L171" s="3">
        <v>0.09</v>
      </c>
      <c r="N171" s="3">
        <v>0</v>
      </c>
      <c r="O171" s="3">
        <v>0.2</v>
      </c>
      <c r="Q171" s="3">
        <v>0</v>
      </c>
      <c r="R171" s="3">
        <v>0.09</v>
      </c>
    </row>
    <row r="172" spans="2:18" ht="15.75" x14ac:dyDescent="0.25">
      <c r="B172" s="3">
        <v>0</v>
      </c>
      <c r="C172" s="3">
        <v>0.09</v>
      </c>
      <c r="E172" s="3">
        <v>0</v>
      </c>
      <c r="F172" s="3">
        <v>0.09</v>
      </c>
      <c r="H172" s="3">
        <v>0</v>
      </c>
      <c r="I172" s="3">
        <v>0.1</v>
      </c>
      <c r="K172" s="3">
        <v>0</v>
      </c>
      <c r="L172" s="3">
        <v>0.09</v>
      </c>
      <c r="N172" s="3">
        <v>0</v>
      </c>
      <c r="O172" s="3">
        <v>49.63</v>
      </c>
      <c r="Q172" s="3">
        <v>0</v>
      </c>
      <c r="R172" s="3">
        <v>0.09</v>
      </c>
    </row>
    <row r="173" spans="2:18" ht="15.75" x14ac:dyDescent="0.25">
      <c r="B173" s="3">
        <v>0</v>
      </c>
      <c r="C173" s="3">
        <v>0.09</v>
      </c>
      <c r="E173" s="3">
        <v>0</v>
      </c>
      <c r="F173" s="3">
        <v>0.09</v>
      </c>
      <c r="H173" s="3">
        <v>0</v>
      </c>
      <c r="I173" s="3">
        <v>0.09</v>
      </c>
      <c r="K173" s="3">
        <v>0</v>
      </c>
      <c r="L173" s="3">
        <v>0.09</v>
      </c>
      <c r="N173" s="3">
        <v>0</v>
      </c>
      <c r="O173" s="3">
        <v>0.7</v>
      </c>
      <c r="Q173" s="3">
        <v>0</v>
      </c>
      <c r="R173" s="3">
        <v>0.09</v>
      </c>
    </row>
    <row r="174" spans="2:18" ht="15.75" x14ac:dyDescent="0.25">
      <c r="B174" s="3">
        <v>0</v>
      </c>
      <c r="C174" s="3">
        <v>0.09</v>
      </c>
      <c r="E174" s="3">
        <v>0</v>
      </c>
      <c r="F174" s="3">
        <v>0.09</v>
      </c>
      <c r="H174" s="3">
        <v>0</v>
      </c>
      <c r="I174" s="3">
        <v>0.27</v>
      </c>
      <c r="K174" s="3">
        <v>0</v>
      </c>
      <c r="L174" s="3">
        <v>0.09</v>
      </c>
      <c r="N174" s="3">
        <v>0</v>
      </c>
      <c r="O174" s="3">
        <v>0.7</v>
      </c>
      <c r="Q174" s="3">
        <v>0</v>
      </c>
      <c r="R174" s="3">
        <v>0.09</v>
      </c>
    </row>
    <row r="175" spans="2:18" ht="15.75" x14ac:dyDescent="0.25">
      <c r="B175" s="3">
        <v>0</v>
      </c>
      <c r="C175" s="3">
        <v>0.09</v>
      </c>
      <c r="E175" s="3">
        <v>0</v>
      </c>
      <c r="F175" s="3">
        <v>0.09</v>
      </c>
      <c r="H175" s="3">
        <v>0</v>
      </c>
      <c r="I175" s="3">
        <v>0.7</v>
      </c>
      <c r="K175" s="3">
        <v>0</v>
      </c>
      <c r="L175" s="3">
        <v>0.09</v>
      </c>
      <c r="N175" s="3">
        <v>0</v>
      </c>
      <c r="O175" s="3">
        <v>0.7</v>
      </c>
      <c r="Q175" s="3">
        <v>0</v>
      </c>
      <c r="R175" s="3">
        <v>0.09</v>
      </c>
    </row>
    <row r="176" spans="2:18" ht="15.75" x14ac:dyDescent="0.25">
      <c r="B176" s="3">
        <v>0</v>
      </c>
      <c r="C176" s="3">
        <v>0.09</v>
      </c>
      <c r="E176" s="3">
        <v>0</v>
      </c>
      <c r="F176" s="3">
        <v>0.09</v>
      </c>
      <c r="H176" s="3">
        <v>0</v>
      </c>
      <c r="I176" s="3">
        <v>0.7</v>
      </c>
      <c r="K176" s="3">
        <v>0</v>
      </c>
      <c r="L176" s="3">
        <v>0.09</v>
      </c>
      <c r="N176" s="3">
        <v>0</v>
      </c>
      <c r="O176" s="3">
        <v>0.7</v>
      </c>
      <c r="Q176" s="3">
        <v>0</v>
      </c>
      <c r="R176" s="3">
        <v>0.09</v>
      </c>
    </row>
    <row r="177" spans="2:18" ht="15.75" x14ac:dyDescent="0.25">
      <c r="B177" s="3">
        <v>0</v>
      </c>
      <c r="C177" s="3">
        <v>0.09</v>
      </c>
      <c r="E177" s="3">
        <v>0</v>
      </c>
      <c r="F177" s="21">
        <v>0.09</v>
      </c>
      <c r="H177" s="3">
        <v>0</v>
      </c>
      <c r="I177" s="21">
        <v>0.7</v>
      </c>
      <c r="K177" s="3">
        <v>0</v>
      </c>
      <c r="L177" s="21">
        <v>0.09</v>
      </c>
      <c r="N177" s="3">
        <v>0</v>
      </c>
      <c r="O177" s="21">
        <v>0.7</v>
      </c>
      <c r="Q177" s="3">
        <v>0</v>
      </c>
      <c r="R177" s="21">
        <v>0.09</v>
      </c>
    </row>
    <row r="178" spans="2:18" ht="15.75" x14ac:dyDescent="0.25">
      <c r="B178" s="3">
        <v>0</v>
      </c>
      <c r="C178" s="21">
        <v>0.27</v>
      </c>
      <c r="E178" s="3">
        <v>0</v>
      </c>
      <c r="F178" s="3">
        <v>0.09</v>
      </c>
      <c r="H178" s="3">
        <v>0</v>
      </c>
      <c r="I178" s="3">
        <v>0.7</v>
      </c>
      <c r="K178" s="3">
        <v>0</v>
      </c>
      <c r="L178" s="3">
        <v>0.09</v>
      </c>
      <c r="N178" s="3">
        <v>0</v>
      </c>
      <c r="O178" s="3">
        <v>0.7</v>
      </c>
      <c r="Q178" s="3">
        <v>0</v>
      </c>
      <c r="R178" s="21">
        <v>0.09</v>
      </c>
    </row>
    <row r="179" spans="2:18" ht="15.75" x14ac:dyDescent="0.25">
      <c r="B179" s="3">
        <v>0</v>
      </c>
      <c r="C179" s="21">
        <v>0.09</v>
      </c>
      <c r="E179" s="3">
        <v>0</v>
      </c>
      <c r="F179" s="3">
        <v>0.09</v>
      </c>
      <c r="H179" s="3">
        <v>0</v>
      </c>
      <c r="I179" s="3">
        <v>0.7</v>
      </c>
      <c r="K179" s="3">
        <v>0</v>
      </c>
      <c r="L179" s="3">
        <v>0.09</v>
      </c>
      <c r="N179" s="3">
        <v>0</v>
      </c>
      <c r="O179" s="3">
        <v>0.7</v>
      </c>
      <c r="Q179" s="3">
        <v>0</v>
      </c>
      <c r="R179" s="3">
        <v>0.09</v>
      </c>
    </row>
    <row r="180" spans="2:18" ht="15.75" x14ac:dyDescent="0.25">
      <c r="B180" s="3">
        <v>0</v>
      </c>
      <c r="C180" s="21">
        <v>0.1</v>
      </c>
      <c r="E180" s="3">
        <v>0</v>
      </c>
      <c r="F180" s="3">
        <v>0.09</v>
      </c>
      <c r="H180" s="3">
        <v>0</v>
      </c>
      <c r="I180" s="3">
        <v>0.7</v>
      </c>
      <c r="K180" s="3">
        <v>0</v>
      </c>
      <c r="L180" s="3">
        <v>0.09</v>
      </c>
      <c r="N180" s="3">
        <v>0</v>
      </c>
      <c r="O180" s="3">
        <v>0.7</v>
      </c>
      <c r="Q180" s="3">
        <v>0</v>
      </c>
      <c r="R180" s="3">
        <v>0.09</v>
      </c>
    </row>
    <row r="181" spans="2:18" ht="15.75" x14ac:dyDescent="0.25">
      <c r="B181" s="3">
        <v>0</v>
      </c>
      <c r="C181" s="3">
        <v>0.7</v>
      </c>
      <c r="E181" s="23">
        <f>SUM(E161:E180)</f>
        <v>0</v>
      </c>
      <c r="F181" s="23">
        <f>SUM(F161:F180)</f>
        <v>7.8999999999999995</v>
      </c>
      <c r="H181" s="23">
        <f>SUM(H161:H180)</f>
        <v>0</v>
      </c>
      <c r="I181" s="23">
        <f>SUM(I161:I180)</f>
        <v>6.2600000000000007</v>
      </c>
      <c r="K181" s="23">
        <f>SUM(K161:K180)</f>
        <v>0</v>
      </c>
      <c r="L181" s="23">
        <f>SUM(L161:L180)</f>
        <v>6.6799999999999988</v>
      </c>
      <c r="N181" s="23">
        <f>SUM(N161:N180)</f>
        <v>0</v>
      </c>
      <c r="O181" s="23">
        <f>SUM(O161:O180)</f>
        <v>56.340000000000025</v>
      </c>
      <c r="Q181" s="23">
        <f>SUM(Q161:Q180)</f>
        <v>0</v>
      </c>
      <c r="R181" s="23">
        <f>SUM(R161:R180)</f>
        <v>6.0699999999999985</v>
      </c>
    </row>
    <row r="182" spans="2:18" x14ac:dyDescent="0.25">
      <c r="B182" s="23">
        <f>SUM(B161:B181)</f>
        <v>0</v>
      </c>
      <c r="C182" s="23">
        <f>SUM(C161:C181)</f>
        <v>2.6900000000000004</v>
      </c>
    </row>
    <row r="185" spans="2:18" ht="15.75" x14ac:dyDescent="0.25">
      <c r="B185" s="3">
        <v>0</v>
      </c>
      <c r="C185" s="3">
        <v>0.09</v>
      </c>
      <c r="E185" s="5">
        <v>300</v>
      </c>
      <c r="F185" s="5">
        <v>0</v>
      </c>
      <c r="H185" s="7">
        <v>19.43</v>
      </c>
      <c r="I185" s="3">
        <v>0</v>
      </c>
    </row>
    <row r="186" spans="2:18" ht="15.75" x14ac:dyDescent="0.25">
      <c r="B186" s="3">
        <v>0</v>
      </c>
      <c r="C186" s="3">
        <v>0.09</v>
      </c>
      <c r="E186" s="7">
        <v>17.45</v>
      </c>
      <c r="F186" s="5">
        <v>0</v>
      </c>
      <c r="H186" s="7">
        <v>48.6</v>
      </c>
      <c r="I186" s="3">
        <v>0</v>
      </c>
    </row>
    <row r="187" spans="2:18" ht="15.75" x14ac:dyDescent="0.25">
      <c r="B187" s="3">
        <v>0</v>
      </c>
      <c r="C187" s="3">
        <v>0.09</v>
      </c>
      <c r="E187" s="7">
        <v>24.93</v>
      </c>
      <c r="F187" s="5">
        <v>0</v>
      </c>
      <c r="H187" s="7">
        <v>28.88</v>
      </c>
      <c r="I187" s="3">
        <v>0</v>
      </c>
    </row>
    <row r="188" spans="2:18" ht="15.75" x14ac:dyDescent="0.25">
      <c r="B188" s="3">
        <v>0</v>
      </c>
      <c r="C188" s="3">
        <v>0.09</v>
      </c>
      <c r="E188" s="7">
        <v>28.88</v>
      </c>
      <c r="F188" s="5">
        <v>0</v>
      </c>
      <c r="H188" s="7">
        <v>27.32</v>
      </c>
      <c r="I188" s="3">
        <v>0</v>
      </c>
    </row>
    <row r="189" spans="2:18" ht="15.75" x14ac:dyDescent="0.25">
      <c r="B189" s="3">
        <v>0</v>
      </c>
      <c r="C189" s="3">
        <v>0.09</v>
      </c>
      <c r="E189" s="7">
        <v>24.1</v>
      </c>
      <c r="F189" s="5">
        <v>0</v>
      </c>
      <c r="H189" s="7">
        <v>28.51</v>
      </c>
      <c r="I189" s="3">
        <v>0</v>
      </c>
    </row>
    <row r="190" spans="2:18" ht="15.75" x14ac:dyDescent="0.25">
      <c r="B190" s="3">
        <v>0</v>
      </c>
      <c r="C190" s="3">
        <v>0.09</v>
      </c>
      <c r="E190" s="7">
        <v>19.43</v>
      </c>
      <c r="F190" s="5">
        <v>0</v>
      </c>
      <c r="H190" s="7">
        <v>32.299999999999997</v>
      </c>
      <c r="I190" s="3">
        <v>0</v>
      </c>
    </row>
    <row r="191" spans="2:18" ht="15.75" x14ac:dyDescent="0.25">
      <c r="B191" s="3">
        <v>0</v>
      </c>
      <c r="C191" s="3">
        <v>0.27</v>
      </c>
      <c r="E191" s="7">
        <v>28.81</v>
      </c>
      <c r="F191" s="5">
        <v>0</v>
      </c>
      <c r="H191" s="7">
        <v>217.29</v>
      </c>
      <c r="I191" s="3">
        <v>0</v>
      </c>
    </row>
    <row r="192" spans="2:18" ht="15.75" x14ac:dyDescent="0.25">
      <c r="B192" s="3">
        <v>0</v>
      </c>
      <c r="C192" s="3">
        <v>0.09</v>
      </c>
      <c r="E192" s="7">
        <v>27.02</v>
      </c>
      <c r="F192" s="5">
        <v>0</v>
      </c>
      <c r="H192" s="7">
        <v>27.91</v>
      </c>
      <c r="I192" s="3">
        <v>0</v>
      </c>
    </row>
    <row r="193" spans="2:11" ht="15.75" x14ac:dyDescent="0.25">
      <c r="B193" s="3">
        <v>0</v>
      </c>
      <c r="C193" s="3">
        <v>0.27</v>
      </c>
      <c r="E193" s="8">
        <v>29.41</v>
      </c>
      <c r="F193" s="5">
        <v>0</v>
      </c>
      <c r="H193" s="35">
        <f>SUM(H185:H192)</f>
        <v>430.23999999999995</v>
      </c>
      <c r="I193" s="23">
        <f>SUM(I185:I192)</f>
        <v>0</v>
      </c>
    </row>
    <row r="194" spans="2:11" ht="15.75" x14ac:dyDescent="0.25">
      <c r="B194" s="3">
        <v>0</v>
      </c>
      <c r="C194" s="3">
        <v>0.06</v>
      </c>
      <c r="E194" s="7">
        <v>29.41</v>
      </c>
      <c r="F194" s="5">
        <v>0</v>
      </c>
    </row>
    <row r="195" spans="2:11" ht="15.75" x14ac:dyDescent="0.25">
      <c r="B195" s="3">
        <v>0</v>
      </c>
      <c r="C195" s="3">
        <v>0.13</v>
      </c>
      <c r="E195" s="7">
        <v>38.86</v>
      </c>
      <c r="F195" s="5">
        <v>0</v>
      </c>
    </row>
    <row r="196" spans="2:11" ht="15.75" x14ac:dyDescent="0.25">
      <c r="B196" s="3">
        <v>0</v>
      </c>
      <c r="C196" s="3">
        <v>0.1</v>
      </c>
      <c r="E196" s="7">
        <v>28.88</v>
      </c>
      <c r="F196" s="5">
        <v>0</v>
      </c>
    </row>
    <row r="197" spans="2:11" ht="15.75" x14ac:dyDescent="0.25">
      <c r="B197" s="5">
        <v>0</v>
      </c>
      <c r="C197" s="5">
        <v>0.19</v>
      </c>
      <c r="E197" s="7">
        <v>76.22</v>
      </c>
      <c r="F197" s="5">
        <v>0</v>
      </c>
    </row>
    <row r="198" spans="2:11" ht="15.75" x14ac:dyDescent="0.25">
      <c r="B198" s="5">
        <v>4058.07</v>
      </c>
      <c r="C198" s="5">
        <v>3063.84</v>
      </c>
      <c r="E198" s="7">
        <v>33.630000000000003</v>
      </c>
      <c r="F198" s="5">
        <v>0</v>
      </c>
      <c r="H198" s="1" t="s">
        <v>593</v>
      </c>
      <c r="I198" s="35">
        <f>H193+E207+B202+Q181+N181+K181+H181+E181+B182+Q158+N149+K153+H153+E153+B156+Q135+N136+K137+H134+E135+B136+Q112+N112+K113+H111+E110+B110+Q88+N88+K90+H88+E85+B84+Q62+N59+K63+H61+E65+B67</f>
        <v>47431.700000000004</v>
      </c>
      <c r="J198" s="23">
        <f>I193+F207+C202+R181+O181+L181+I181+F181+C182+R158+O149+L153+I153+F153+C156+R135+O136+L137+I134+F135+C136+R112+O112+L113+I111+F110+C110+R88+O88+L90+I88+F85+C84+R62+O59+L63+I61+F65+C67</f>
        <v>36261.179000000018</v>
      </c>
    </row>
    <row r="199" spans="2:11" ht="15.75" x14ac:dyDescent="0.25">
      <c r="B199" s="13">
        <v>5082</v>
      </c>
      <c r="C199" s="13">
        <v>6125.99</v>
      </c>
      <c r="E199" s="7">
        <v>28.88</v>
      </c>
      <c r="F199" s="5">
        <v>0</v>
      </c>
    </row>
    <row r="200" spans="2:11" ht="15.75" x14ac:dyDescent="0.25">
      <c r="B200" s="5">
        <v>0</v>
      </c>
      <c r="C200" s="25">
        <v>0</v>
      </c>
      <c r="E200" s="7">
        <v>19.43</v>
      </c>
      <c r="F200" s="5">
        <v>0</v>
      </c>
      <c r="H200" s="245" t="s">
        <v>595</v>
      </c>
      <c r="I200" s="245"/>
      <c r="J200" s="36">
        <f>I198+I41</f>
        <v>58072.37000000001</v>
      </c>
      <c r="K200" s="34">
        <f>J198+J41</f>
        <v>43488.549000000014</v>
      </c>
    </row>
    <row r="201" spans="2:11" ht="15.75" x14ac:dyDescent="0.25">
      <c r="B201" s="5">
        <v>19.309999999999999</v>
      </c>
      <c r="C201" s="5">
        <v>76.45</v>
      </c>
      <c r="E201" s="7">
        <v>46.51</v>
      </c>
      <c r="F201" s="5">
        <v>0</v>
      </c>
      <c r="J201" s="27">
        <f>J200-58072.37</f>
        <v>0</v>
      </c>
    </row>
    <row r="202" spans="2:11" ht="15.75" x14ac:dyDescent="0.25">
      <c r="B202" s="23">
        <f>SUM(B185:B201)</f>
        <v>9159.3799999999992</v>
      </c>
      <c r="C202" s="23">
        <f>SUM(C185:C201)</f>
        <v>9267.93</v>
      </c>
      <c r="E202" s="7">
        <v>19.43</v>
      </c>
      <c r="F202" s="5">
        <v>0</v>
      </c>
      <c r="K202">
        <v>4.93</v>
      </c>
    </row>
    <row r="203" spans="2:11" ht="15.75" x14ac:dyDescent="0.25">
      <c r="E203" s="7">
        <v>10.37</v>
      </c>
      <c r="F203" s="5">
        <v>0</v>
      </c>
      <c r="K203" s="27">
        <f>K202-J201</f>
        <v>4.93</v>
      </c>
    </row>
    <row r="204" spans="2:11" ht="15.75" x14ac:dyDescent="0.25">
      <c r="E204" s="7">
        <v>10.37</v>
      </c>
      <c r="F204" s="5">
        <v>0</v>
      </c>
    </row>
    <row r="205" spans="2:11" ht="15.75" x14ac:dyDescent="0.25">
      <c r="E205" s="2">
        <v>54.04</v>
      </c>
      <c r="F205" s="5">
        <v>0</v>
      </c>
    </row>
    <row r="206" spans="2:11" ht="15.75" x14ac:dyDescent="0.25">
      <c r="E206" s="2">
        <v>25.83</v>
      </c>
      <c r="F206" s="5">
        <v>0</v>
      </c>
    </row>
    <row r="207" spans="2:11" x14ac:dyDescent="0.25">
      <c r="E207" s="23">
        <f>SUM(E185:E206)</f>
        <v>921.89</v>
      </c>
      <c r="F207" s="23">
        <f>SUM(F185:F206)</f>
        <v>0</v>
      </c>
    </row>
  </sheetData>
  <mergeCells count="1">
    <mergeCell ref="H200:I20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CPSMS_Sanction_Report_SPV_Route</vt:lpstr>
      <vt:lpstr>Sheet1</vt:lpstr>
      <vt:lpstr>CPSMS_Sanction_Report_SPV_Route!Print_Area</vt:lpstr>
    </vt:vector>
  </TitlesOfParts>
  <LinksUpToDate>false</LinksUpToDate>
  <CharactersWithSpaces>0</CharactersWithSpaces>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NJANG</dc:creator>
  <cp:lastModifiedBy>Two</cp:lastModifiedBy>
  <cp:lastPrinted>2024-02-08T06:57:53Z</cp:lastPrinted>
  <dcterms:created xsi:type="dcterms:W3CDTF">2022-09-23T07:25:09Z</dcterms:created>
  <dcterms:modified xsi:type="dcterms:W3CDTF">2024-02-08T06:58:13Z</dcterms:modified>
</cp:coreProperties>
</file>